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1592" windowHeight="8700" activeTab="0"/>
  </bookViews>
  <sheets>
    <sheet name="Zuerst Lesen !" sheetId="1" r:id="rId1"/>
    <sheet name="Gesamt" sheetId="2" r:id="rId2"/>
    <sheet name="StdVS Unterhaltsreinigung (UHR)" sheetId="3" r:id="rId3"/>
    <sheet name="StdVS UHR Turnhallen" sheetId="4" r:id="rId4"/>
    <sheet name="StdVS Vertretung Schwimmhalle" sheetId="5" r:id="rId5"/>
    <sheet name="StdVS Grundreinigung" sheetId="6" r:id="rId6"/>
    <sheet name="StdVS Glas-und Fensterreinigung" sheetId="7" r:id="rId7"/>
    <sheet name="Bildungszentrum (Los 1)" sheetId="8" r:id="rId8"/>
    <sheet name="Matrix BZ" sheetId="9" r:id="rId9"/>
    <sheet name="BZ Schwimmhalle (Los 1)" sheetId="10" r:id="rId10"/>
    <sheet name="Matrix BZ Schwimmhalle" sheetId="11" r:id="rId11"/>
    <sheet name="Hohensteinhalle (Los 1)" sheetId="12" r:id="rId12"/>
    <sheet name="Matrix Hohensteinhalle" sheetId="13" r:id="rId13"/>
    <sheet name="KITA Sonnenschein (Los 2)" sheetId="14" r:id="rId14"/>
    <sheet name="Matrix KITA " sheetId="15" r:id="rId15"/>
    <sheet name="Rathaus (Los 2)" sheetId="16" r:id="rId16"/>
    <sheet name="Matrix Rathaus" sheetId="17" r:id="rId17"/>
    <sheet name="Baubetriebshof (Los 2)" sheetId="18" r:id="rId18"/>
    <sheet name="Matrix Baubetriebshof" sheetId="19" r:id="rId19"/>
    <sheet name="Aussegnungshalle (Los 2)" sheetId="20" r:id="rId20"/>
    <sheet name="Matrix Aussegnungshalle" sheetId="21" r:id="rId21"/>
    <sheet name="Feuerwache (Los 2)" sheetId="22" r:id="rId22"/>
    <sheet name="Matrix Feuerwache" sheetId="23" r:id="rId23"/>
  </sheets>
  <externalReferences>
    <externalReference r:id="rId26"/>
    <externalReference r:id="rId27"/>
  </externalReferences>
  <definedNames>
    <definedName name="arbflägru">#REF!</definedName>
    <definedName name="arbflgla">#REF!,#REF!</definedName>
    <definedName name="arbflgru">#REF!,#REF!</definedName>
    <definedName name="_xlnm.Print_Area" localSheetId="7">'Bildungszentrum (Los 1)'!$A$1:$N$86</definedName>
    <definedName name="_xlnm.Print_Area" localSheetId="9">'BZ Schwimmhalle (Los 1)'!$A$1:$M$27</definedName>
    <definedName name="_xlnm.Print_Area" localSheetId="1">'Gesamt'!$A$1:$L$28</definedName>
    <definedName name="_xlnm.Print_Area" localSheetId="13">'KITA Sonnenschein (Los 2)'!$A$1:$N$48</definedName>
    <definedName name="_xlnm.Print_Area" localSheetId="6">'StdVS Glas-und Fensterreinigung'!$A$1:$F$62</definedName>
    <definedName name="_xlnm.Print_Area" localSheetId="5">'StdVS Grundreinigung'!$A$1:$F$62</definedName>
    <definedName name="_xlnm.Print_Area" localSheetId="3">'StdVS UHR Turnhallen'!$A$1:$F$61</definedName>
    <definedName name="_xlnm.Print_Area" localSheetId="2">'StdVS Unterhaltsreinigung (UHR)'!$A$1:$F$62</definedName>
    <definedName name="_xlnm.Print_Area" localSheetId="4">'StdVS Vertretung Schwimmhalle'!$A$1:$F$62</definedName>
    <definedName name="Gruflä01" localSheetId="7">#REF!,#REF!,#REF!,#REF!,#REF!,#REF!,#REF!,#REF!,#REF!,#REF!,#REF!,#REF!,#REF!,#REF!,#REF!,#REF!,#REF!,#REF!</definedName>
    <definedName name="Gruflä01" localSheetId="9">#REF!,#REF!,#REF!,#REF!,#REF!,#REF!,#REF!,#REF!,#REF!,#REF!,#REF!,#REF!,#REF!,#REF!,#REF!,#REF!,#REF!,#REF!</definedName>
    <definedName name="Gruflä01" localSheetId="8">#REF!,#REF!,#REF!,#REF!,#REF!,#REF!,#REF!,#REF!,#REF!,#REF!,#REF!,#REF!,#REF!,#REF!,#REF!,#REF!,#REF!,#REF!</definedName>
    <definedName name="Gruflä01" localSheetId="10">#REF!,#REF!,#REF!,#REF!,#REF!,#REF!,#REF!,#REF!,#REF!,#REF!,#REF!,#REF!,#REF!,#REF!,#REF!,#REF!,#REF!,#REF!</definedName>
    <definedName name="Gruflä01" localSheetId="4">#REF!,#REF!,#REF!,#REF!,#REF!,#REF!,#REF!,#REF!,#REF!,#REF!,#REF!,#REF!,#REF!,#REF!,#REF!,#REF!,#REF!,#REF!</definedName>
    <definedName name="Gruflä01">#REF!,#REF!,#REF!,#REF!,#REF!,#REF!,#REF!,#REF!,#REF!,#REF!,#REF!,#REF!,#REF!,#REF!,#REF!,#REF!,#REF!,#REF!</definedName>
    <definedName name="gruflä04">#REF!,#REF!,#REF!,#REF!,#REF!,#REF!,#REF!,#REF!,#REF!,#REF!,#REF!,#REF!,#REF!,#REF!,#REF!,#REF!,#REF!,#REF!</definedName>
    <definedName name="gruflägru">#REF!,#REF!</definedName>
    <definedName name="gruflgla">#REF!,#REF!</definedName>
    <definedName name="Gruflgru">#REF!</definedName>
    <definedName name="grundflä">#REF!,#REF!,#REF!,#REF!,#REF!,#REF!,#REF!,#REF!,#REF!,#REF!,#REF!,#REF!,#REF!,#REF!,#REF!,#REF!,#REF!,#REF!</definedName>
    <definedName name="Grundfläch01" localSheetId="7">'[1]Kalkulation Unterhalt '!$I$34,'[1]Kalkulation Unterhalt '!$I$70,'[1]Kalkulation Unterhalt '!$I$106,'[1]Kalkulation Unterhalt '!$I$142,'[1]Kalkulation Unterhalt '!$I$178,'[1]Kalkulation Unterhalt '!$I$214,'[1]Kalkulation Unterhalt '!$I$250,'[1]Kalkulation Unterhalt '!$I$286,'[1]Kalkulation Unterhalt '!$I$322,'[1]Kalkulation Unterhalt '!$I$358,'[1]Kalkulation Unterhalt '!$I$394,'[1]Kalkulation Unterhalt '!$I$429,'[1]Kalkulation Unterhalt '!$I$464,'[1]Kalkulation Unterhalt '!$I$499,'[1]Kalkulation Unterhalt '!#REF!,'[1]Kalkulation Unterhalt '!#REF!,'[1]Kalkulation Unterhalt '!#REF!,'[1]Kalkulation Unterhalt '!#REF!</definedName>
    <definedName name="Grundfläch01" localSheetId="9">'[1]Kalkulation Unterhalt '!$I$34,'[1]Kalkulation Unterhalt '!$I$70,'[1]Kalkulation Unterhalt '!$I$106,'[1]Kalkulation Unterhalt '!$I$142,'[1]Kalkulation Unterhalt '!$I$178,'[1]Kalkulation Unterhalt '!$I$214,'[1]Kalkulation Unterhalt '!$I$250,'[1]Kalkulation Unterhalt '!$I$286,'[1]Kalkulation Unterhalt '!$I$322,'[1]Kalkulation Unterhalt '!$I$358,'[1]Kalkulation Unterhalt '!$I$394,'[1]Kalkulation Unterhalt '!$I$429,'[1]Kalkulation Unterhalt '!$I$464,'[1]Kalkulation Unterhalt '!$I$499,'[1]Kalkulation Unterhalt '!#REF!,'[1]Kalkulation Unterhalt '!#REF!,'[1]Kalkulation Unterhalt '!#REF!,'[1]Kalkulation Unterhalt '!#REF!</definedName>
    <definedName name="Grundfläch01" localSheetId="8">'[1]Kalkulation Unterhalt '!$I$34,'[1]Kalkulation Unterhalt '!$I$70,'[1]Kalkulation Unterhalt '!$I$106,'[1]Kalkulation Unterhalt '!$I$142,'[1]Kalkulation Unterhalt '!$I$178,'[1]Kalkulation Unterhalt '!$I$214,'[1]Kalkulation Unterhalt '!$I$250,'[1]Kalkulation Unterhalt '!$I$286,'[1]Kalkulation Unterhalt '!$I$322,'[1]Kalkulation Unterhalt '!$I$358,'[1]Kalkulation Unterhalt '!$I$394,'[1]Kalkulation Unterhalt '!$I$429,'[1]Kalkulation Unterhalt '!$I$464,'[1]Kalkulation Unterhalt '!$I$499,'[1]Kalkulation Unterhalt '!#REF!,'[1]Kalkulation Unterhalt '!#REF!,'[1]Kalkulation Unterhalt '!#REF!,'[1]Kalkulation Unterhalt '!#REF!</definedName>
    <definedName name="Grundfläch01" localSheetId="10">'[1]Kalkulation Unterhalt '!$I$34,'[1]Kalkulation Unterhalt '!$I$70,'[1]Kalkulation Unterhalt '!$I$106,'[1]Kalkulation Unterhalt '!$I$142,'[1]Kalkulation Unterhalt '!$I$178,'[1]Kalkulation Unterhalt '!$I$214,'[1]Kalkulation Unterhalt '!$I$250,'[1]Kalkulation Unterhalt '!$I$286,'[1]Kalkulation Unterhalt '!$I$322,'[1]Kalkulation Unterhalt '!$I$358,'[1]Kalkulation Unterhalt '!$I$394,'[1]Kalkulation Unterhalt '!$I$429,'[1]Kalkulation Unterhalt '!$I$464,'[1]Kalkulation Unterhalt '!$I$499,'[1]Kalkulation Unterhalt '!#REF!,'[1]Kalkulation Unterhalt '!#REF!,'[1]Kalkulation Unterhalt '!#REF!,'[1]Kalkulation Unterhalt '!#REF!</definedName>
    <definedName name="Grundfläch01" localSheetId="4">'[1]Kalkulation Unterhalt '!$I$34,'[1]Kalkulation Unterhalt '!$I$70,'[1]Kalkulation Unterhalt '!$I$106,'[1]Kalkulation Unterhalt '!$I$142,'[1]Kalkulation Unterhalt '!$I$178,'[1]Kalkulation Unterhalt '!$I$214,'[1]Kalkulation Unterhalt '!$I$250,'[1]Kalkulation Unterhalt '!$I$286,'[1]Kalkulation Unterhalt '!$I$322,'[1]Kalkulation Unterhalt '!$I$358,'[1]Kalkulation Unterhalt '!$I$394,'[1]Kalkulation Unterhalt '!$I$429,'[1]Kalkulation Unterhalt '!$I$464,'[1]Kalkulation Unterhalt '!$I$499,'[1]Kalkulation Unterhalt '!#REF!,'[1]Kalkulation Unterhalt '!#REF!,'[1]Kalkulation Unterhalt '!#REF!,'[1]Kalkulation Unterhalt '!#REF!</definedName>
    <definedName name="Grundfläch01">'[1]Kalkulation Unterhalt '!$I$34,'[1]Kalkulation Unterhalt '!$I$70,'[1]Kalkulation Unterhalt '!$I$106,'[1]Kalkulation Unterhalt '!$I$142,'[1]Kalkulation Unterhalt '!$I$178,'[1]Kalkulation Unterhalt '!$I$214,'[1]Kalkulation Unterhalt '!$I$250,'[1]Kalkulation Unterhalt '!$I$286,'[1]Kalkulation Unterhalt '!$I$322,'[1]Kalkulation Unterhalt '!$I$358,'[1]Kalkulation Unterhalt '!$I$394,'[1]Kalkulation Unterhalt '!$I$429,'[1]Kalkulation Unterhalt '!$I$464,'[1]Kalkulation Unterhalt '!$I$499,'[1]Kalkulation Unterhalt '!#REF!,'[1]Kalkulation Unterhalt '!#REF!,'[1]Kalkulation Unterhalt '!#REF!,'[1]Kalkulation Unterhalt '!#REF!</definedName>
    <definedName name="Jahbru" localSheetId="7">'[1]Kalkulation Unterhalt '!$S$36,'[1]Kalkulation Unterhalt '!$S$72,'[1]Kalkulation Unterhalt '!$S$108,'[1]Kalkulation Unterhalt '!$S$144,'[1]Kalkulation Unterhalt '!$S$180,'[1]Kalkulation Unterhalt '!$S$216,'[1]Kalkulation Unterhalt '!$S$252,'[1]Kalkulation Unterhalt '!$S$288,'[1]Kalkulation Unterhalt '!$S$324,'[1]Kalkulation Unterhalt '!$S$360,'[1]Kalkulation Unterhalt '!$S$396,'[1]Kalkulation Unterhalt '!$S$431,'[1]Kalkulation Unterhalt '!$S$466,'[1]Kalkulation Unterhalt '!$S$501,'[1]Kalkulation Unterhalt '!#REF!,'[1]Kalkulation Unterhalt '!#REF!,'[1]Kalkulation Unterhalt '!#REF!,'[1]Kalkulation Unterhalt '!#REF!</definedName>
    <definedName name="Jahbru" localSheetId="9">'[1]Kalkulation Unterhalt '!$S$36,'[1]Kalkulation Unterhalt '!$S$72,'[1]Kalkulation Unterhalt '!$S$108,'[1]Kalkulation Unterhalt '!$S$144,'[1]Kalkulation Unterhalt '!$S$180,'[1]Kalkulation Unterhalt '!$S$216,'[1]Kalkulation Unterhalt '!$S$252,'[1]Kalkulation Unterhalt '!$S$288,'[1]Kalkulation Unterhalt '!$S$324,'[1]Kalkulation Unterhalt '!$S$360,'[1]Kalkulation Unterhalt '!$S$396,'[1]Kalkulation Unterhalt '!$S$431,'[1]Kalkulation Unterhalt '!$S$466,'[1]Kalkulation Unterhalt '!$S$501,'[1]Kalkulation Unterhalt '!#REF!,'[1]Kalkulation Unterhalt '!#REF!,'[1]Kalkulation Unterhalt '!#REF!,'[1]Kalkulation Unterhalt '!#REF!</definedName>
    <definedName name="Jahbru" localSheetId="8">'[1]Kalkulation Unterhalt '!$S$36,'[1]Kalkulation Unterhalt '!$S$72,'[1]Kalkulation Unterhalt '!$S$108,'[1]Kalkulation Unterhalt '!$S$144,'[1]Kalkulation Unterhalt '!$S$180,'[1]Kalkulation Unterhalt '!$S$216,'[1]Kalkulation Unterhalt '!$S$252,'[1]Kalkulation Unterhalt '!$S$288,'[1]Kalkulation Unterhalt '!$S$324,'[1]Kalkulation Unterhalt '!$S$360,'[1]Kalkulation Unterhalt '!$S$396,'[1]Kalkulation Unterhalt '!$S$431,'[1]Kalkulation Unterhalt '!$S$466,'[1]Kalkulation Unterhalt '!$S$501,'[1]Kalkulation Unterhalt '!#REF!,'[1]Kalkulation Unterhalt '!#REF!,'[1]Kalkulation Unterhalt '!#REF!,'[1]Kalkulation Unterhalt '!#REF!</definedName>
    <definedName name="Jahbru" localSheetId="10">'[1]Kalkulation Unterhalt '!$S$36,'[1]Kalkulation Unterhalt '!$S$72,'[1]Kalkulation Unterhalt '!$S$108,'[1]Kalkulation Unterhalt '!$S$144,'[1]Kalkulation Unterhalt '!$S$180,'[1]Kalkulation Unterhalt '!$S$216,'[1]Kalkulation Unterhalt '!$S$252,'[1]Kalkulation Unterhalt '!$S$288,'[1]Kalkulation Unterhalt '!$S$324,'[1]Kalkulation Unterhalt '!$S$360,'[1]Kalkulation Unterhalt '!$S$396,'[1]Kalkulation Unterhalt '!$S$431,'[1]Kalkulation Unterhalt '!$S$466,'[1]Kalkulation Unterhalt '!$S$501,'[1]Kalkulation Unterhalt '!#REF!,'[1]Kalkulation Unterhalt '!#REF!,'[1]Kalkulation Unterhalt '!#REF!,'[1]Kalkulation Unterhalt '!#REF!</definedName>
    <definedName name="Jahbru" localSheetId="4">'[1]Kalkulation Unterhalt '!$S$36,'[1]Kalkulation Unterhalt '!$S$72,'[1]Kalkulation Unterhalt '!$S$108,'[1]Kalkulation Unterhalt '!$S$144,'[1]Kalkulation Unterhalt '!$S$180,'[1]Kalkulation Unterhalt '!$S$216,'[1]Kalkulation Unterhalt '!$S$252,'[1]Kalkulation Unterhalt '!$S$288,'[1]Kalkulation Unterhalt '!$S$324,'[1]Kalkulation Unterhalt '!$S$360,'[1]Kalkulation Unterhalt '!$S$396,'[1]Kalkulation Unterhalt '!$S$431,'[1]Kalkulation Unterhalt '!$S$466,'[1]Kalkulation Unterhalt '!$S$501,'[1]Kalkulation Unterhalt '!#REF!,'[1]Kalkulation Unterhalt '!#REF!,'[1]Kalkulation Unterhalt '!#REF!,'[1]Kalkulation Unterhalt '!#REF!</definedName>
    <definedName name="Jahbru">'[1]Kalkulation Unterhalt '!$S$36,'[1]Kalkulation Unterhalt '!$S$72,'[1]Kalkulation Unterhalt '!$S$108,'[1]Kalkulation Unterhalt '!$S$144,'[1]Kalkulation Unterhalt '!$S$180,'[1]Kalkulation Unterhalt '!$S$216,'[1]Kalkulation Unterhalt '!$S$252,'[1]Kalkulation Unterhalt '!$S$288,'[1]Kalkulation Unterhalt '!$S$324,'[1]Kalkulation Unterhalt '!$S$360,'[1]Kalkulation Unterhalt '!$S$396,'[1]Kalkulation Unterhalt '!$S$431,'[1]Kalkulation Unterhalt '!$S$466,'[1]Kalkulation Unterhalt '!$S$501,'[1]Kalkulation Unterhalt '!#REF!,'[1]Kalkulation Unterhalt '!#REF!,'[1]Kalkulation Unterhalt '!#REF!,'[1]Kalkulation Unterhalt '!#REF!</definedName>
    <definedName name="Jahbru01" localSheetId="7">#REF!,#REF!,#REF!,#REF!,#REF!,#REF!,#REF!,#REF!,#REF!,#REF!,#REF!,#REF!,#REF!,#REF!,#REF!,#REF!,#REF!,#REF!</definedName>
    <definedName name="Jahbru01" localSheetId="9">#REF!,#REF!,#REF!,#REF!,#REF!,#REF!,#REF!,#REF!,#REF!,#REF!,#REF!,#REF!,#REF!,#REF!,#REF!,#REF!,#REF!,#REF!</definedName>
    <definedName name="Jahbru01" localSheetId="8">#REF!,#REF!,#REF!,#REF!,#REF!,#REF!,#REF!,#REF!,#REF!,#REF!,#REF!,#REF!,#REF!,#REF!,#REF!,#REF!,#REF!,#REF!</definedName>
    <definedName name="Jahbru01" localSheetId="10">#REF!,#REF!,#REF!,#REF!,#REF!,#REF!,#REF!,#REF!,#REF!,#REF!,#REF!,#REF!,#REF!,#REF!,#REF!,#REF!,#REF!,#REF!</definedName>
    <definedName name="Jahbru01" localSheetId="4">#REF!,#REF!,#REF!,#REF!,#REF!,#REF!,#REF!,#REF!,#REF!,#REF!,#REF!,#REF!,#REF!,#REF!,#REF!,#REF!,#REF!,#REF!</definedName>
    <definedName name="Jahbru01">#REF!,#REF!,#REF!,#REF!,#REF!,#REF!,#REF!,#REF!,#REF!,#REF!,#REF!,#REF!,#REF!,#REF!,#REF!,#REF!,#REF!,#REF!</definedName>
    <definedName name="jahbru04">#REF!,#REF!,#REF!,#REF!,#REF!,#REF!,#REF!,#REF!,#REF!,#REF!,#REF!,#REF!,#REF!,#REF!,#REF!,#REF!,#REF!,#REF!</definedName>
    <definedName name="jahbrugla">#REF!,#REF!</definedName>
    <definedName name="Jahbrugru">#REF!,#REF!</definedName>
    <definedName name="jahrbrugru">#REF!</definedName>
    <definedName name="Jahrbu03">#REF!,#REF!,#REF!,#REF!,#REF!,#REF!,#REF!,#REF!,#REF!,#REF!,#REF!,#REF!,#REF!,#REF!,#REF!,#REF!,#REF!,#REF!</definedName>
    <definedName name="Mobru" localSheetId="7">'[1]Kalkulation Unterhalt '!$R$36,'[1]Kalkulation Unterhalt '!$R$72,'[1]Kalkulation Unterhalt '!$R$108,'[1]Kalkulation Unterhalt '!$R$144,'[1]Kalkulation Unterhalt '!$R$180,'[1]Kalkulation Unterhalt '!$R$216,'[1]Kalkulation Unterhalt '!$R$252,'[1]Kalkulation Unterhalt '!$R$288,'[1]Kalkulation Unterhalt '!$R$324,'[1]Kalkulation Unterhalt '!$R$360,'[1]Kalkulation Unterhalt '!$R$396,'[1]Kalkulation Unterhalt '!$R$431,'[1]Kalkulation Unterhalt '!$R$466,'[1]Kalkulation Unterhalt '!$R$501,'[1]Kalkulation Unterhalt '!#REF!,'[1]Kalkulation Unterhalt '!#REF!,'[1]Kalkulation Unterhalt '!#REF!,'[1]Kalkulation Unterhalt '!#REF!</definedName>
    <definedName name="Mobru" localSheetId="9">'[1]Kalkulation Unterhalt '!$R$36,'[1]Kalkulation Unterhalt '!$R$72,'[1]Kalkulation Unterhalt '!$R$108,'[1]Kalkulation Unterhalt '!$R$144,'[1]Kalkulation Unterhalt '!$R$180,'[1]Kalkulation Unterhalt '!$R$216,'[1]Kalkulation Unterhalt '!$R$252,'[1]Kalkulation Unterhalt '!$R$288,'[1]Kalkulation Unterhalt '!$R$324,'[1]Kalkulation Unterhalt '!$R$360,'[1]Kalkulation Unterhalt '!$R$396,'[1]Kalkulation Unterhalt '!$R$431,'[1]Kalkulation Unterhalt '!$R$466,'[1]Kalkulation Unterhalt '!$R$501,'[1]Kalkulation Unterhalt '!#REF!,'[1]Kalkulation Unterhalt '!#REF!,'[1]Kalkulation Unterhalt '!#REF!,'[1]Kalkulation Unterhalt '!#REF!</definedName>
    <definedName name="Mobru" localSheetId="8">'[1]Kalkulation Unterhalt '!$R$36,'[1]Kalkulation Unterhalt '!$R$72,'[1]Kalkulation Unterhalt '!$R$108,'[1]Kalkulation Unterhalt '!$R$144,'[1]Kalkulation Unterhalt '!$R$180,'[1]Kalkulation Unterhalt '!$R$216,'[1]Kalkulation Unterhalt '!$R$252,'[1]Kalkulation Unterhalt '!$R$288,'[1]Kalkulation Unterhalt '!$R$324,'[1]Kalkulation Unterhalt '!$R$360,'[1]Kalkulation Unterhalt '!$R$396,'[1]Kalkulation Unterhalt '!$R$431,'[1]Kalkulation Unterhalt '!$R$466,'[1]Kalkulation Unterhalt '!$R$501,'[1]Kalkulation Unterhalt '!#REF!,'[1]Kalkulation Unterhalt '!#REF!,'[1]Kalkulation Unterhalt '!#REF!,'[1]Kalkulation Unterhalt '!#REF!</definedName>
    <definedName name="Mobru" localSheetId="10">'[1]Kalkulation Unterhalt '!$R$36,'[1]Kalkulation Unterhalt '!$R$72,'[1]Kalkulation Unterhalt '!$R$108,'[1]Kalkulation Unterhalt '!$R$144,'[1]Kalkulation Unterhalt '!$R$180,'[1]Kalkulation Unterhalt '!$R$216,'[1]Kalkulation Unterhalt '!$R$252,'[1]Kalkulation Unterhalt '!$R$288,'[1]Kalkulation Unterhalt '!$R$324,'[1]Kalkulation Unterhalt '!$R$360,'[1]Kalkulation Unterhalt '!$R$396,'[1]Kalkulation Unterhalt '!$R$431,'[1]Kalkulation Unterhalt '!$R$466,'[1]Kalkulation Unterhalt '!$R$501,'[1]Kalkulation Unterhalt '!#REF!,'[1]Kalkulation Unterhalt '!#REF!,'[1]Kalkulation Unterhalt '!#REF!,'[1]Kalkulation Unterhalt '!#REF!</definedName>
    <definedName name="Mobru" localSheetId="4">'[1]Kalkulation Unterhalt '!$R$36,'[1]Kalkulation Unterhalt '!$R$72,'[1]Kalkulation Unterhalt '!$R$108,'[1]Kalkulation Unterhalt '!$R$144,'[1]Kalkulation Unterhalt '!$R$180,'[1]Kalkulation Unterhalt '!$R$216,'[1]Kalkulation Unterhalt '!$R$252,'[1]Kalkulation Unterhalt '!$R$288,'[1]Kalkulation Unterhalt '!$R$324,'[1]Kalkulation Unterhalt '!$R$360,'[1]Kalkulation Unterhalt '!$R$396,'[1]Kalkulation Unterhalt '!$R$431,'[1]Kalkulation Unterhalt '!$R$466,'[1]Kalkulation Unterhalt '!$R$501,'[1]Kalkulation Unterhalt '!#REF!,'[1]Kalkulation Unterhalt '!#REF!,'[1]Kalkulation Unterhalt '!#REF!,'[1]Kalkulation Unterhalt '!#REF!</definedName>
    <definedName name="Mobru">'[1]Kalkulation Unterhalt '!$R$36,'[1]Kalkulation Unterhalt '!$R$72,'[1]Kalkulation Unterhalt '!$R$108,'[1]Kalkulation Unterhalt '!$R$144,'[1]Kalkulation Unterhalt '!$R$180,'[1]Kalkulation Unterhalt '!$R$216,'[1]Kalkulation Unterhalt '!$R$252,'[1]Kalkulation Unterhalt '!$R$288,'[1]Kalkulation Unterhalt '!$R$324,'[1]Kalkulation Unterhalt '!$R$360,'[1]Kalkulation Unterhalt '!$R$396,'[1]Kalkulation Unterhalt '!$R$431,'[1]Kalkulation Unterhalt '!$R$466,'[1]Kalkulation Unterhalt '!$R$501,'[1]Kalkulation Unterhalt '!#REF!,'[1]Kalkulation Unterhalt '!#REF!,'[1]Kalkulation Unterhalt '!#REF!,'[1]Kalkulation Unterhalt '!#REF!</definedName>
    <definedName name="Mobru01" localSheetId="7">#REF!,#REF!,#REF!,#REF!,#REF!,#REF!,#REF!,#REF!,#REF!,#REF!,#REF!,#REF!,#REF!,#REF!,#REF!,#REF!,#REF!,#REF!</definedName>
    <definedName name="Mobru01" localSheetId="9">#REF!,#REF!,#REF!,#REF!,#REF!,#REF!,#REF!,#REF!,#REF!,#REF!,#REF!,#REF!,#REF!,#REF!,#REF!,#REF!,#REF!,#REF!</definedName>
    <definedName name="Mobru01" localSheetId="8">#REF!,#REF!,#REF!,#REF!,#REF!,#REF!,#REF!,#REF!,#REF!,#REF!,#REF!,#REF!,#REF!,#REF!,#REF!,#REF!,#REF!,#REF!</definedName>
    <definedName name="Mobru01" localSheetId="10">#REF!,#REF!,#REF!,#REF!,#REF!,#REF!,#REF!,#REF!,#REF!,#REF!,#REF!,#REF!,#REF!,#REF!,#REF!,#REF!,#REF!,#REF!</definedName>
    <definedName name="Mobru01" localSheetId="4">#REF!,#REF!,#REF!,#REF!,#REF!,#REF!,#REF!,#REF!,#REF!,#REF!,#REF!,#REF!,#REF!,#REF!,#REF!,#REF!,#REF!,#REF!</definedName>
    <definedName name="Mobru01">#REF!,#REF!,#REF!,#REF!,#REF!,#REF!,#REF!,#REF!,#REF!,#REF!,#REF!,#REF!,#REF!,#REF!,#REF!,#REF!,#REF!,#REF!</definedName>
    <definedName name="Mobru03">#REF!,#REF!,#REF!,#REF!,#REF!,#REF!,#REF!,#REF!,#REF!,#REF!,#REF!,#REF!,#REF!,#REF!,#REF!,#REF!,#REF!,#REF!</definedName>
    <definedName name="mobru04">#REF!,#REF!,#REF!,#REF!,#REF!,#REF!,#REF!,#REF!,#REF!,#REF!,#REF!,#REF!,#REF!,#REF!,#REF!,#REF!,#REF!,#REF!</definedName>
    <definedName name="Moflä01" localSheetId="7">#REF!,#REF!,#REF!,#REF!,#REF!,#REF!,#REF!,#REF!,#REF!,#REF!,#REF!,#REF!,#REF!,#REF!,#REF!,#REF!</definedName>
    <definedName name="Moflä01" localSheetId="9">#REF!,#REF!,#REF!,#REF!,#REF!,#REF!,#REF!,#REF!,#REF!,#REF!,#REF!,#REF!,#REF!,#REF!,#REF!,#REF!</definedName>
    <definedName name="Moflä01" localSheetId="8">#REF!,#REF!,#REF!,#REF!,#REF!,#REF!,#REF!,#REF!,#REF!,#REF!,#REF!,#REF!,#REF!,#REF!,#REF!,#REF!</definedName>
    <definedName name="Moflä01" localSheetId="10">#REF!,#REF!,#REF!,#REF!,#REF!,#REF!,#REF!,#REF!,#REF!,#REF!,#REF!,#REF!,#REF!,#REF!,#REF!,#REF!</definedName>
    <definedName name="Moflä01" localSheetId="4">#REF!,#REF!,#REF!,#REF!,#REF!,#REF!,#REF!,#REF!,#REF!,#REF!,#REF!,#REF!,#REF!,#REF!,#REF!,#REF!</definedName>
    <definedName name="Moflä01">#REF!,#REF!,#REF!,#REF!,#REF!,#REF!,#REF!,#REF!,#REF!,#REF!,#REF!,#REF!,#REF!,#REF!,#REF!,#REF!</definedName>
    <definedName name="Moflä011" localSheetId="7">#REF!,#REF!</definedName>
    <definedName name="Moflä011" localSheetId="9">#REF!,#REF!</definedName>
    <definedName name="Moflä011" localSheetId="8">#REF!,#REF!</definedName>
    <definedName name="Moflä011" localSheetId="10">#REF!,#REF!</definedName>
    <definedName name="Moflä011" localSheetId="4">#REF!,#REF!</definedName>
    <definedName name="Moflä011">#REF!,#REF!</definedName>
    <definedName name="moflä04">#REF!,#REF!,#REF!,#REF!,#REF!,#REF!,#REF!,#REF!,#REF!,#REF!,#REF!,#REF!,#REF!,#REF!,#REF!,#REF!,#REF!,#REF!</definedName>
    <definedName name="Monflä03">#REF!,#REF!,#REF!,#REF!,#REF!,#REF!,#REF!,#REF!,#REF!,#REF!,#REF!,#REF!,#REF!,#REF!,#REF!,#REF!,#REF!,#REF!</definedName>
    <definedName name="Monfläch01" localSheetId="7">'[1]Kalkulation Unterhalt '!$N$34,'[1]Kalkulation Unterhalt '!$N$70,'[1]Kalkulation Unterhalt '!$N$106,'[1]Kalkulation Unterhalt '!$N$142,'[1]Kalkulation Unterhalt '!$N$178,'[1]Kalkulation Unterhalt '!$N$214,'[1]Kalkulation Unterhalt '!$N$250,'[1]Kalkulation Unterhalt '!$N$286,'[1]Kalkulation Unterhalt '!$N$322,'[1]Kalkulation Unterhalt '!$N$358,'[1]Kalkulation Unterhalt '!$N$394,'[1]Kalkulation Unterhalt '!$N$429,'[1]Kalkulation Unterhalt '!$N$464,'[1]Kalkulation Unterhalt '!$N$499,'[1]Kalkulation Unterhalt '!#REF!,'[1]Kalkulation Unterhalt '!#REF!,'[1]Kalkulation Unterhalt '!#REF!,'[1]Kalkulation Unterhalt '!#REF!</definedName>
    <definedName name="Monfläch01" localSheetId="9">'[1]Kalkulation Unterhalt '!$N$34,'[1]Kalkulation Unterhalt '!$N$70,'[1]Kalkulation Unterhalt '!$N$106,'[1]Kalkulation Unterhalt '!$N$142,'[1]Kalkulation Unterhalt '!$N$178,'[1]Kalkulation Unterhalt '!$N$214,'[1]Kalkulation Unterhalt '!$N$250,'[1]Kalkulation Unterhalt '!$N$286,'[1]Kalkulation Unterhalt '!$N$322,'[1]Kalkulation Unterhalt '!$N$358,'[1]Kalkulation Unterhalt '!$N$394,'[1]Kalkulation Unterhalt '!$N$429,'[1]Kalkulation Unterhalt '!$N$464,'[1]Kalkulation Unterhalt '!$N$499,'[1]Kalkulation Unterhalt '!#REF!,'[1]Kalkulation Unterhalt '!#REF!,'[1]Kalkulation Unterhalt '!#REF!,'[1]Kalkulation Unterhalt '!#REF!</definedName>
    <definedName name="Monfläch01" localSheetId="8">'[1]Kalkulation Unterhalt '!$N$34,'[1]Kalkulation Unterhalt '!$N$70,'[1]Kalkulation Unterhalt '!$N$106,'[1]Kalkulation Unterhalt '!$N$142,'[1]Kalkulation Unterhalt '!$N$178,'[1]Kalkulation Unterhalt '!$N$214,'[1]Kalkulation Unterhalt '!$N$250,'[1]Kalkulation Unterhalt '!$N$286,'[1]Kalkulation Unterhalt '!$N$322,'[1]Kalkulation Unterhalt '!$N$358,'[1]Kalkulation Unterhalt '!$N$394,'[1]Kalkulation Unterhalt '!$N$429,'[1]Kalkulation Unterhalt '!$N$464,'[1]Kalkulation Unterhalt '!$N$499,'[1]Kalkulation Unterhalt '!#REF!,'[1]Kalkulation Unterhalt '!#REF!,'[1]Kalkulation Unterhalt '!#REF!,'[1]Kalkulation Unterhalt '!#REF!</definedName>
    <definedName name="Monfläch01" localSheetId="10">'[1]Kalkulation Unterhalt '!$N$34,'[1]Kalkulation Unterhalt '!$N$70,'[1]Kalkulation Unterhalt '!$N$106,'[1]Kalkulation Unterhalt '!$N$142,'[1]Kalkulation Unterhalt '!$N$178,'[1]Kalkulation Unterhalt '!$N$214,'[1]Kalkulation Unterhalt '!$N$250,'[1]Kalkulation Unterhalt '!$N$286,'[1]Kalkulation Unterhalt '!$N$322,'[1]Kalkulation Unterhalt '!$N$358,'[1]Kalkulation Unterhalt '!$N$394,'[1]Kalkulation Unterhalt '!$N$429,'[1]Kalkulation Unterhalt '!$N$464,'[1]Kalkulation Unterhalt '!$N$499,'[1]Kalkulation Unterhalt '!#REF!,'[1]Kalkulation Unterhalt '!#REF!,'[1]Kalkulation Unterhalt '!#REF!,'[1]Kalkulation Unterhalt '!#REF!</definedName>
    <definedName name="Monfläch01" localSheetId="4">'[1]Kalkulation Unterhalt '!$N$34,'[1]Kalkulation Unterhalt '!$N$70,'[1]Kalkulation Unterhalt '!$N$106,'[1]Kalkulation Unterhalt '!$N$142,'[1]Kalkulation Unterhalt '!$N$178,'[1]Kalkulation Unterhalt '!$N$214,'[1]Kalkulation Unterhalt '!$N$250,'[1]Kalkulation Unterhalt '!$N$286,'[1]Kalkulation Unterhalt '!$N$322,'[1]Kalkulation Unterhalt '!$N$358,'[1]Kalkulation Unterhalt '!$N$394,'[1]Kalkulation Unterhalt '!$N$429,'[1]Kalkulation Unterhalt '!$N$464,'[1]Kalkulation Unterhalt '!$N$499,'[1]Kalkulation Unterhalt '!#REF!,'[1]Kalkulation Unterhalt '!#REF!,'[1]Kalkulation Unterhalt '!#REF!,'[1]Kalkulation Unterhalt '!#REF!</definedName>
    <definedName name="Monfläch01">'[1]Kalkulation Unterhalt '!$N$34,'[1]Kalkulation Unterhalt '!$N$70,'[1]Kalkulation Unterhalt '!$N$106,'[1]Kalkulation Unterhalt '!$N$142,'[1]Kalkulation Unterhalt '!$N$178,'[1]Kalkulation Unterhalt '!$N$214,'[1]Kalkulation Unterhalt '!$N$250,'[1]Kalkulation Unterhalt '!$N$286,'[1]Kalkulation Unterhalt '!$N$322,'[1]Kalkulation Unterhalt '!$N$358,'[1]Kalkulation Unterhalt '!$N$394,'[1]Kalkulation Unterhalt '!$N$429,'[1]Kalkulation Unterhalt '!$N$464,'[1]Kalkulation Unterhalt '!$N$499,'[1]Kalkulation Unterhalt '!#REF!,'[1]Kalkulation Unterhalt '!#REF!,'[1]Kalkulation Unterhalt '!#REF!,'[1]Kalkulation Unterhalt '!#REF!</definedName>
    <definedName name="Monstun01" localSheetId="7">'[1]Kalkulation Unterhalt '!$P$34,'[1]Kalkulation Unterhalt '!$P$70,'[1]Kalkulation Unterhalt '!$P$106,'[1]Kalkulation Unterhalt '!$P$142,'[1]Kalkulation Unterhalt '!$P$178,'[1]Kalkulation Unterhalt '!$P$214,'[1]Kalkulation Unterhalt '!$P$250,'[1]Kalkulation Unterhalt '!$P$286,'[1]Kalkulation Unterhalt '!$P$322,'[1]Kalkulation Unterhalt '!$P$358,'[1]Kalkulation Unterhalt '!$P$394,'[1]Kalkulation Unterhalt '!$P$429,'[1]Kalkulation Unterhalt '!$P$464,'[1]Kalkulation Unterhalt '!$P$499,'[1]Kalkulation Unterhalt '!#REF!,'[1]Kalkulation Unterhalt '!#REF!,'[1]Kalkulation Unterhalt '!#REF!,'[1]Kalkulation Unterhalt '!#REF!</definedName>
    <definedName name="Monstun01" localSheetId="9">'[1]Kalkulation Unterhalt '!$P$34,'[1]Kalkulation Unterhalt '!$P$70,'[1]Kalkulation Unterhalt '!$P$106,'[1]Kalkulation Unterhalt '!$P$142,'[1]Kalkulation Unterhalt '!$P$178,'[1]Kalkulation Unterhalt '!$P$214,'[1]Kalkulation Unterhalt '!$P$250,'[1]Kalkulation Unterhalt '!$P$286,'[1]Kalkulation Unterhalt '!$P$322,'[1]Kalkulation Unterhalt '!$P$358,'[1]Kalkulation Unterhalt '!$P$394,'[1]Kalkulation Unterhalt '!$P$429,'[1]Kalkulation Unterhalt '!$P$464,'[1]Kalkulation Unterhalt '!$P$499,'[1]Kalkulation Unterhalt '!#REF!,'[1]Kalkulation Unterhalt '!#REF!,'[1]Kalkulation Unterhalt '!#REF!,'[1]Kalkulation Unterhalt '!#REF!</definedName>
    <definedName name="Monstun01" localSheetId="8">'[1]Kalkulation Unterhalt '!$P$34,'[1]Kalkulation Unterhalt '!$P$70,'[1]Kalkulation Unterhalt '!$P$106,'[1]Kalkulation Unterhalt '!$P$142,'[1]Kalkulation Unterhalt '!$P$178,'[1]Kalkulation Unterhalt '!$P$214,'[1]Kalkulation Unterhalt '!$P$250,'[1]Kalkulation Unterhalt '!$P$286,'[1]Kalkulation Unterhalt '!$P$322,'[1]Kalkulation Unterhalt '!$P$358,'[1]Kalkulation Unterhalt '!$P$394,'[1]Kalkulation Unterhalt '!$P$429,'[1]Kalkulation Unterhalt '!$P$464,'[1]Kalkulation Unterhalt '!$P$499,'[1]Kalkulation Unterhalt '!#REF!,'[1]Kalkulation Unterhalt '!#REF!,'[1]Kalkulation Unterhalt '!#REF!,'[1]Kalkulation Unterhalt '!#REF!</definedName>
    <definedName name="Monstun01" localSheetId="10">'[1]Kalkulation Unterhalt '!$P$34,'[1]Kalkulation Unterhalt '!$P$70,'[1]Kalkulation Unterhalt '!$P$106,'[1]Kalkulation Unterhalt '!$P$142,'[1]Kalkulation Unterhalt '!$P$178,'[1]Kalkulation Unterhalt '!$P$214,'[1]Kalkulation Unterhalt '!$P$250,'[1]Kalkulation Unterhalt '!$P$286,'[1]Kalkulation Unterhalt '!$P$322,'[1]Kalkulation Unterhalt '!$P$358,'[1]Kalkulation Unterhalt '!$P$394,'[1]Kalkulation Unterhalt '!$P$429,'[1]Kalkulation Unterhalt '!$P$464,'[1]Kalkulation Unterhalt '!$P$499,'[1]Kalkulation Unterhalt '!#REF!,'[1]Kalkulation Unterhalt '!#REF!,'[1]Kalkulation Unterhalt '!#REF!,'[1]Kalkulation Unterhalt '!#REF!</definedName>
    <definedName name="Monstun01" localSheetId="4">'[1]Kalkulation Unterhalt '!$P$34,'[1]Kalkulation Unterhalt '!$P$70,'[1]Kalkulation Unterhalt '!$P$106,'[1]Kalkulation Unterhalt '!$P$142,'[1]Kalkulation Unterhalt '!$P$178,'[1]Kalkulation Unterhalt '!$P$214,'[1]Kalkulation Unterhalt '!$P$250,'[1]Kalkulation Unterhalt '!$P$286,'[1]Kalkulation Unterhalt '!$P$322,'[1]Kalkulation Unterhalt '!$P$358,'[1]Kalkulation Unterhalt '!$P$394,'[1]Kalkulation Unterhalt '!$P$429,'[1]Kalkulation Unterhalt '!$P$464,'[1]Kalkulation Unterhalt '!$P$499,'[1]Kalkulation Unterhalt '!#REF!,'[1]Kalkulation Unterhalt '!#REF!,'[1]Kalkulation Unterhalt '!#REF!,'[1]Kalkulation Unterhalt '!#REF!</definedName>
    <definedName name="Monstun01">'[1]Kalkulation Unterhalt '!$P$34,'[1]Kalkulation Unterhalt '!$P$70,'[1]Kalkulation Unterhalt '!$P$106,'[1]Kalkulation Unterhalt '!$P$142,'[1]Kalkulation Unterhalt '!$P$178,'[1]Kalkulation Unterhalt '!$P$214,'[1]Kalkulation Unterhalt '!$P$250,'[1]Kalkulation Unterhalt '!$P$286,'[1]Kalkulation Unterhalt '!$P$322,'[1]Kalkulation Unterhalt '!$P$358,'[1]Kalkulation Unterhalt '!$P$394,'[1]Kalkulation Unterhalt '!$P$429,'[1]Kalkulation Unterhalt '!$P$464,'[1]Kalkulation Unterhalt '!$P$499,'[1]Kalkulation Unterhalt '!#REF!,'[1]Kalkulation Unterhalt '!#REF!,'[1]Kalkulation Unterhalt '!#REF!,'[1]Kalkulation Unterhalt '!#REF!</definedName>
    <definedName name="Monstun03">#REF!,#REF!,#REF!,#REF!,#REF!,#REF!,#REF!,#REF!,#REF!,#REF!,#REF!,#REF!,#REF!,#REF!,#REF!,#REF!,#REF!,#REF!</definedName>
    <definedName name="mostu04">#REF!,#REF!,#REF!,#REF!,#REF!,#REF!,#REF!,#REF!,#REF!,#REF!,#REF!,#REF!,#REF!,#REF!,#REF!,#REF!,#REF!,#REF!</definedName>
    <definedName name="stugru">#REF!</definedName>
    <definedName name="Stumo01" localSheetId="7">#REF!,#REF!,#REF!,#REF!,#REF!,#REF!,#REF!,#REF!,#REF!,#REF!,#REF!,#REF!,#REF!,#REF!,#REF!,#REF!,#REF!,#REF!</definedName>
    <definedName name="Stumo01" localSheetId="9">#REF!,#REF!,#REF!,#REF!,#REF!,#REF!,#REF!,#REF!,#REF!,#REF!,#REF!,#REF!,#REF!,#REF!,#REF!,#REF!,#REF!,#REF!</definedName>
    <definedName name="Stumo01" localSheetId="8">#REF!,#REF!,#REF!,#REF!,#REF!,#REF!,#REF!,#REF!,#REF!,#REF!,#REF!,#REF!,#REF!,#REF!,#REF!,#REF!,#REF!,#REF!</definedName>
    <definedName name="Stumo01" localSheetId="10">#REF!,#REF!,#REF!,#REF!,#REF!,#REF!,#REF!,#REF!,#REF!,#REF!,#REF!,#REF!,#REF!,#REF!,#REF!,#REF!,#REF!,#REF!</definedName>
    <definedName name="Stumo01" localSheetId="4">#REF!,#REF!,#REF!,#REF!,#REF!,#REF!,#REF!,#REF!,#REF!,#REF!,#REF!,#REF!,#REF!,#REF!,#REF!,#REF!,#REF!,#REF!</definedName>
    <definedName name="Stumo01">#REF!,#REF!,#REF!,#REF!,#REF!,#REF!,#REF!,#REF!,#REF!,#REF!,#REF!,#REF!,#REF!,#REF!,#REF!,#REF!,#REF!,#REF!</definedName>
    <definedName name="Stumo011" localSheetId="7">#REF!,#REF!</definedName>
    <definedName name="Stumo011" localSheetId="9">#REF!,#REF!</definedName>
    <definedName name="Stumo011" localSheetId="8">#REF!,#REF!</definedName>
    <definedName name="Stumo011" localSheetId="10">#REF!,#REF!</definedName>
    <definedName name="Stumo011" localSheetId="4">#REF!,#REF!</definedName>
    <definedName name="Stumo011">#REF!,#REF!</definedName>
    <definedName name="stungru">#REF!,#REF!</definedName>
    <definedName name="Tagesstunden" localSheetId="7">'[1]Kalkulation Unterhalt '!$P$35,'[1]Kalkulation Unterhalt '!$P$71,'[1]Kalkulation Unterhalt '!$P$107,'[1]Kalkulation Unterhalt '!$P$143,'[1]Kalkulation Unterhalt '!$P$179,'[1]Kalkulation Unterhalt '!$P$215,'[1]Kalkulation Unterhalt '!$P$251,'[1]Kalkulation Unterhalt '!$P$287,'[1]Kalkulation Unterhalt '!$P$323,'[1]Kalkulation Unterhalt '!$P$359,'[1]Kalkulation Unterhalt '!$P$395,'[1]Kalkulation Unterhalt '!$P$430,'[1]Kalkulation Unterhalt '!$P$465,'[1]Kalkulation Unterhalt '!$P$500,'[1]Kalkulation Unterhalt '!#REF!,'[1]Kalkulation Unterhalt '!#REF!,'[1]Kalkulation Unterhalt '!#REF!,'[1]Kalkulation Unterhalt '!#REF!</definedName>
    <definedName name="Tagesstunden" localSheetId="9">'[1]Kalkulation Unterhalt '!$P$35,'[1]Kalkulation Unterhalt '!$P$71,'[1]Kalkulation Unterhalt '!$P$107,'[1]Kalkulation Unterhalt '!$P$143,'[1]Kalkulation Unterhalt '!$P$179,'[1]Kalkulation Unterhalt '!$P$215,'[1]Kalkulation Unterhalt '!$P$251,'[1]Kalkulation Unterhalt '!$P$287,'[1]Kalkulation Unterhalt '!$P$323,'[1]Kalkulation Unterhalt '!$P$359,'[1]Kalkulation Unterhalt '!$P$395,'[1]Kalkulation Unterhalt '!$P$430,'[1]Kalkulation Unterhalt '!$P$465,'[1]Kalkulation Unterhalt '!$P$500,'[1]Kalkulation Unterhalt '!#REF!,'[1]Kalkulation Unterhalt '!#REF!,'[1]Kalkulation Unterhalt '!#REF!,'[1]Kalkulation Unterhalt '!#REF!</definedName>
    <definedName name="Tagesstunden" localSheetId="8">'[1]Kalkulation Unterhalt '!$P$35,'[1]Kalkulation Unterhalt '!$P$71,'[1]Kalkulation Unterhalt '!$P$107,'[1]Kalkulation Unterhalt '!$P$143,'[1]Kalkulation Unterhalt '!$P$179,'[1]Kalkulation Unterhalt '!$P$215,'[1]Kalkulation Unterhalt '!$P$251,'[1]Kalkulation Unterhalt '!$P$287,'[1]Kalkulation Unterhalt '!$P$323,'[1]Kalkulation Unterhalt '!$P$359,'[1]Kalkulation Unterhalt '!$P$395,'[1]Kalkulation Unterhalt '!$P$430,'[1]Kalkulation Unterhalt '!$P$465,'[1]Kalkulation Unterhalt '!$P$500,'[1]Kalkulation Unterhalt '!#REF!,'[1]Kalkulation Unterhalt '!#REF!,'[1]Kalkulation Unterhalt '!#REF!,'[1]Kalkulation Unterhalt '!#REF!</definedName>
    <definedName name="Tagesstunden" localSheetId="10">'[1]Kalkulation Unterhalt '!$P$35,'[1]Kalkulation Unterhalt '!$P$71,'[1]Kalkulation Unterhalt '!$P$107,'[1]Kalkulation Unterhalt '!$P$143,'[1]Kalkulation Unterhalt '!$P$179,'[1]Kalkulation Unterhalt '!$P$215,'[1]Kalkulation Unterhalt '!$P$251,'[1]Kalkulation Unterhalt '!$P$287,'[1]Kalkulation Unterhalt '!$P$323,'[1]Kalkulation Unterhalt '!$P$359,'[1]Kalkulation Unterhalt '!$P$395,'[1]Kalkulation Unterhalt '!$P$430,'[1]Kalkulation Unterhalt '!$P$465,'[1]Kalkulation Unterhalt '!$P$500,'[1]Kalkulation Unterhalt '!#REF!,'[1]Kalkulation Unterhalt '!#REF!,'[1]Kalkulation Unterhalt '!#REF!,'[1]Kalkulation Unterhalt '!#REF!</definedName>
    <definedName name="Tagesstunden" localSheetId="4">'[1]Kalkulation Unterhalt '!$P$35,'[1]Kalkulation Unterhalt '!$P$71,'[1]Kalkulation Unterhalt '!$P$107,'[1]Kalkulation Unterhalt '!$P$143,'[1]Kalkulation Unterhalt '!$P$179,'[1]Kalkulation Unterhalt '!$P$215,'[1]Kalkulation Unterhalt '!$P$251,'[1]Kalkulation Unterhalt '!$P$287,'[1]Kalkulation Unterhalt '!$P$323,'[1]Kalkulation Unterhalt '!$P$359,'[1]Kalkulation Unterhalt '!$P$395,'[1]Kalkulation Unterhalt '!$P$430,'[1]Kalkulation Unterhalt '!$P$465,'[1]Kalkulation Unterhalt '!$P$500,'[1]Kalkulation Unterhalt '!#REF!,'[1]Kalkulation Unterhalt '!#REF!,'[1]Kalkulation Unterhalt '!#REF!,'[1]Kalkulation Unterhalt '!#REF!</definedName>
    <definedName name="Tagesstunden">'[1]Kalkulation Unterhalt '!$P$35,'[1]Kalkulation Unterhalt '!$P$71,'[1]Kalkulation Unterhalt '!$P$107,'[1]Kalkulation Unterhalt '!$P$143,'[1]Kalkulation Unterhalt '!$P$179,'[1]Kalkulation Unterhalt '!$P$215,'[1]Kalkulation Unterhalt '!$P$251,'[1]Kalkulation Unterhalt '!$P$287,'[1]Kalkulation Unterhalt '!$P$323,'[1]Kalkulation Unterhalt '!$P$359,'[1]Kalkulation Unterhalt '!$P$395,'[1]Kalkulation Unterhalt '!$P$430,'[1]Kalkulation Unterhalt '!$P$465,'[1]Kalkulation Unterhalt '!$P$500,'[1]Kalkulation Unterhalt '!#REF!,'[1]Kalkulation Unterhalt '!#REF!,'[1]Kalkulation Unterhalt '!#REF!,'[1]Kalkulation Unterhalt '!#REF!</definedName>
    <definedName name="Tagstu01" localSheetId="7">#REF!,#REF!,#REF!,#REF!,#REF!,#REF!,#REF!,#REF!,#REF!,#REF!,#REF!,#REF!,#REF!,#REF!,#REF!,#REF!,#REF!,#REF!</definedName>
    <definedName name="Tagstu01" localSheetId="9">#REF!,#REF!,#REF!,#REF!,#REF!,#REF!,#REF!,#REF!,#REF!,#REF!,#REF!,#REF!,#REF!,#REF!,#REF!,#REF!,#REF!,#REF!</definedName>
    <definedName name="Tagstu01" localSheetId="8">#REF!,#REF!,#REF!,#REF!,#REF!,#REF!,#REF!,#REF!,#REF!,#REF!,#REF!,#REF!,#REF!,#REF!,#REF!,#REF!,#REF!,#REF!</definedName>
    <definedName name="Tagstu01" localSheetId="10">#REF!,#REF!,#REF!,#REF!,#REF!,#REF!,#REF!,#REF!,#REF!,#REF!,#REF!,#REF!,#REF!,#REF!,#REF!,#REF!,#REF!,#REF!</definedName>
    <definedName name="Tagstu01" localSheetId="4">#REF!,#REF!,#REF!,#REF!,#REF!,#REF!,#REF!,#REF!,#REF!,#REF!,#REF!,#REF!,#REF!,#REF!,#REF!,#REF!,#REF!,#REF!</definedName>
    <definedName name="Tagstu01">#REF!,#REF!,#REF!,#REF!,#REF!,#REF!,#REF!,#REF!,#REF!,#REF!,#REF!,#REF!,#REF!,#REF!,#REF!,#REF!,#REF!,#REF!</definedName>
    <definedName name="Tagstun03">#REF!,#REF!,#REF!,#REF!,#REF!,#REF!,#REF!,#REF!,#REF!,#REF!,#REF!,#REF!,#REF!,#REF!,#REF!,#REF!,#REF!,#REF!,#REF!</definedName>
    <definedName name="tastu04">#REF!,#REF!,#REF!,#REF!,#REF!,#REF!,#REF!,#REF!,#REF!,#REF!,#REF!,#REF!,#REF!,#REF!,#REF!,#REF!,#REF!,#REF!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Herrmann</author>
  </authors>
  <commentList>
    <comment ref="F13" authorId="0">
      <text>
        <r>
          <rPr>
            <b/>
            <sz val="8"/>
            <rFont val="Tahoma"/>
            <family val="2"/>
          </rPr>
          <t>Kommentare sind durch das rote Dreieck oben rechts gekennzeichnet.
Hier finden Sie jeweils Hinweise zur Bearbeitung der Tabellenblätter überall dort, wo Einträge zu machen sind.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Zobel-Boenisch</author>
    <author>Boenisch</author>
  </authors>
  <commentList>
    <comment ref="B3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4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5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7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C11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RMB:
Tragen Sie hier Ihren
Netto-Gesamtpreis für ggf. erforderlichen Steigereinsatz ein.
</t>
        </r>
        <r>
          <rPr>
            <sz val="8"/>
            <rFont val="Tahoma"/>
            <family val="2"/>
          </rPr>
          <t>Falls kein Steiger nötig, tragen Sie 0,00 ein.</t>
        </r>
        <r>
          <rPr>
            <b/>
            <sz val="8"/>
            <rFont val="Tahoma"/>
            <family val="2"/>
          </rPr>
          <t xml:space="preserve">
Berechnung Gesamtpreis erfolgt.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 </author>
    <author>Boenisch</author>
    <author>Zobel-Boenisch</author>
  </authors>
  <commentList>
    <comment ref="B2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3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4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5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9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C14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5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7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25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E26" authorId="2">
      <text>
        <r>
          <rPr>
            <b/>
            <sz val="8"/>
            <rFont val="Tahoma"/>
            <family val="2"/>
          </rPr>
          <t xml:space="preserve">RMB:
Tragen Sie hier Ihren
Netto-Gesamtpreis für ggf. erforderlichen Steigereinsatz ein.
</t>
        </r>
        <r>
          <rPr>
            <sz val="8"/>
            <rFont val="Tahoma"/>
            <family val="2"/>
          </rPr>
          <t>Falls kein Steiger nötig, tragen Sie 0,00 ein.</t>
        </r>
        <r>
          <rPr>
            <b/>
            <sz val="8"/>
            <rFont val="Tahoma"/>
            <family val="2"/>
          </rPr>
          <t xml:space="preserve">
Berechnung Gesamtpreis erfolgt.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</commentList>
</comments>
</file>

<file path=xl/comments15.xml><?xml version="1.0" encoding="utf-8"?>
<comments xmlns="http://schemas.openxmlformats.org/spreadsheetml/2006/main">
  <authors>
    <author>Boenisch</author>
    <author>Zobel-Boenisch</author>
  </authors>
  <commentList>
    <comment ref="C24" authorId="0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E25" authorId="1">
      <text>
        <r>
          <rPr>
            <b/>
            <sz val="8"/>
            <rFont val="Tahoma"/>
            <family val="2"/>
          </rPr>
          <t xml:space="preserve">RMB:
Tragen Sie hier Ihren
Netto-Gesamtpreis für ggf. erforderlichen Steigereinsatz ein.
</t>
        </r>
        <r>
          <rPr>
            <sz val="8"/>
            <rFont val="Tahoma"/>
            <family val="2"/>
          </rPr>
          <t>Falls kein Steiger nötig, tragen Sie 0,00 ein.</t>
        </r>
        <r>
          <rPr>
            <b/>
            <sz val="8"/>
            <rFont val="Tahoma"/>
            <family val="2"/>
          </rPr>
          <t xml:space="preserve">
Berechnung Gesamtpreis erfolgt.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3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4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6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7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8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5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9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C14" authorId="0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 </author>
    <author>Zobel-Boenisch</author>
    <author>Boenisch</author>
  </authors>
  <commentList>
    <comment ref="B2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4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10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5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E28" authorId="1">
      <text>
        <r>
          <rPr>
            <b/>
            <sz val="8"/>
            <rFont val="Tahoma"/>
            <family val="2"/>
          </rPr>
          <t xml:space="preserve">RMB:
Tragen Sie hier Ihren
Netto-Gesamtpreis für ggf. erforderlichen Steigereinsatz ein.
</t>
        </r>
        <r>
          <rPr>
            <sz val="8"/>
            <rFont val="Tahoma"/>
            <family val="2"/>
          </rPr>
          <t>Falls kein Steiger nötig, tragen Sie 0,00 ein.</t>
        </r>
        <r>
          <rPr>
            <b/>
            <sz val="8"/>
            <rFont val="Tahoma"/>
            <family val="2"/>
          </rPr>
          <t xml:space="preserve">
Berechnung Gesamtpreis erfolgt.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C27" authorId="2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B3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11" authorId="0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C19" authorId="2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6" authorId="2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7" authorId="2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8" authorId="2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Zobel-Boenisch</author>
    <author> </author>
    <author>Boenisch</author>
  </authors>
  <commentList>
    <comment ref="E18" authorId="0">
      <text>
        <r>
          <rPr>
            <b/>
            <sz val="8"/>
            <rFont val="Tahoma"/>
            <family val="2"/>
          </rPr>
          <t xml:space="preserve">RMB:
Tragen Sie hier Ihren
Netto-Gesamtpreis für ggf. erforderlichen Steigereinsatz ein.
</t>
        </r>
        <r>
          <rPr>
            <sz val="8"/>
            <rFont val="Tahoma"/>
            <family val="2"/>
          </rPr>
          <t>Falls kein Steiger nötig, tragen Sie 0,00 ein.</t>
        </r>
        <r>
          <rPr>
            <b/>
            <sz val="8"/>
            <rFont val="Tahoma"/>
            <family val="2"/>
          </rPr>
          <t xml:space="preserve">
Berechnung Gesamtpreis erfolgt.</t>
        </r>
        <r>
          <rPr>
            <sz val="8"/>
            <rFont val="Tahoma"/>
            <family val="2"/>
          </rPr>
          <t xml:space="preserve">
</t>
        </r>
      </text>
    </comment>
    <comment ref="B2" authorId="1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3" authorId="1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4" authorId="1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C17" authorId="2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2" authorId="2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</commentList>
</comments>
</file>

<file path=xl/comments2.xml><?xml version="1.0" encoding="utf-8"?>
<comments xmlns="http://schemas.openxmlformats.org/spreadsheetml/2006/main">
  <authors>
    <author>Zobel-Boenisch</author>
  </authors>
  <commentList>
    <comment ref="E11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die vorgesehene Anzahl von 
Reinigungskräften ein</t>
        </r>
      </text>
    </comment>
    <comment ref="E10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die vorgesehene Anzahl von 
Reinigungskräften ein</t>
        </r>
      </text>
    </comment>
    <comment ref="E7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die vorgesehene Anzahl von 
Reinigungskräften ein</t>
        </r>
      </text>
    </comment>
    <comment ref="E12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die vorgesehene Anzahl von 
Reinigungskräften ein</t>
        </r>
      </text>
    </comment>
    <comment ref="E13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die vorgesehene Anzahl von 
Reinigungskräften ein</t>
        </r>
      </text>
    </comment>
    <comment ref="E14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die vorgesehene Anzahl von 
Reinigungskräften ein</t>
        </r>
      </text>
    </comment>
    <comment ref="E6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die vorgesehene Anzahl von 
Reinigungskräften ein</t>
        </r>
      </text>
    </comment>
    <comment ref="E5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die vorgesehene Anzahl von 
Reinigungskräften ein</t>
        </r>
      </text>
    </comment>
    <comment ref="E31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die Daten
Ihres Unternehmens ein.
</t>
        </r>
      </text>
    </comment>
  </commentList>
</comments>
</file>

<file path=xl/comments21.xml><?xml version="1.0" encoding="utf-8"?>
<comments xmlns="http://schemas.openxmlformats.org/spreadsheetml/2006/main">
  <authors>
    <author>Zobel-Boenisch</author>
    <author>Boenisch</author>
    <author> </author>
  </authors>
  <commentList>
    <comment ref="E20" authorId="0">
      <text>
        <r>
          <rPr>
            <b/>
            <sz val="8"/>
            <rFont val="Tahoma"/>
            <family val="2"/>
          </rPr>
          <t xml:space="preserve">RMB:
Tragen Sie hier Ihren
Netto-Gesamtpreis für ggf. erforderlichen Steigereinsatz ein.
</t>
        </r>
        <r>
          <rPr>
            <sz val="8"/>
            <rFont val="Tahoma"/>
            <family val="2"/>
          </rPr>
          <t>Falls kein Steiger nötig, tragen Sie 0,00 ein.</t>
        </r>
        <r>
          <rPr>
            <b/>
            <sz val="8"/>
            <rFont val="Tahoma"/>
            <family val="2"/>
          </rPr>
          <t xml:space="preserve">
Berechnung Gesamtpreis erfolgt.</t>
        </r>
        <r>
          <rPr>
            <sz val="8"/>
            <rFont val="Tahoma"/>
            <family val="2"/>
          </rPr>
          <t xml:space="preserve">
</t>
        </r>
      </text>
    </comment>
    <comment ref="C12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B2" authorId="2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3" authorId="2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4" authorId="2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5" authorId="2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6" authorId="2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7" authorId="2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C19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7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Zobel-Boenisch</author>
    <author>Boenisch</author>
    <author> </author>
  </authors>
  <commentList>
    <comment ref="E19" authorId="0">
      <text>
        <r>
          <rPr>
            <b/>
            <sz val="8"/>
            <rFont val="Tahoma"/>
            <family val="2"/>
          </rPr>
          <t xml:space="preserve">RMB:
Tragen Sie hier Ihren
Netto-Gesamtpreis für ggf. erforderlichen Steigereinsatz ein.
</t>
        </r>
        <r>
          <rPr>
            <sz val="8"/>
            <rFont val="Tahoma"/>
            <family val="2"/>
          </rPr>
          <t>Falls kein Steiger nötig, tragen Sie 0,00 ein.</t>
        </r>
        <r>
          <rPr>
            <b/>
            <sz val="8"/>
            <rFont val="Tahoma"/>
            <family val="2"/>
          </rPr>
          <t xml:space="preserve">
Berechnung Gesamtpreis erfolgt.</t>
        </r>
        <r>
          <rPr>
            <sz val="8"/>
            <rFont val="Tahoma"/>
            <family val="2"/>
          </rPr>
          <t xml:space="preserve">
</t>
        </r>
      </text>
    </comment>
    <comment ref="C17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12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B2" authorId="2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3" authorId="2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4" authorId="2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5" authorId="2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6" authorId="2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B7" authorId="2">
      <text>
        <r>
          <rPr>
            <b/>
            <sz val="10"/>
            <rFont val="Tahoma"/>
            <family val="2"/>
          </rPr>
          <t xml:space="preserve"> RMB:  </t>
        </r>
        <r>
          <rPr>
            <sz val="10"/>
            <rFont val="Tahoma"/>
            <family val="2"/>
          </rPr>
          <t xml:space="preserve">
Tragen Sie hier Ihre Reinigungsflächenleistung
für die jeweiligen Raumgruppen ein.</t>
        </r>
      </text>
    </comment>
    <comment ref="C18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dlm-fm ltd</author>
  </authors>
  <commentList>
    <comment ref="E8" authorId="0">
      <text>
        <r>
          <rPr>
            <b/>
            <sz val="8"/>
            <rFont val="Tahoma"/>
            <family val="2"/>
          </rPr>
          <t>RMB:
Tragen Sie hier den für den Geltungsbereich gültigen Tariflohn ein.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Nur den tatsächlichen Anteil der GV - Löhne im Verhältnis zum objektbezogenen Produktivlohn SV - pflichtig, wenn GV - Einsatz unvermeidlich!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dlm-fm ltd</author>
  </authors>
  <commentList>
    <comment ref="E8" authorId="0">
      <text>
        <r>
          <rPr>
            <b/>
            <sz val="8"/>
            <rFont val="Tahoma"/>
            <family val="2"/>
          </rPr>
          <t>RMB:
Tragen Sie hier den für den Geltungsbereich gültigen Tariflohn ein.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Nur den tatsächlichen Anteil der GV - Löhne im Verhältnis zum objektbezogenen Produktivlohn SV - pflichtig, wenn GV - Einsatz unvermeidlich!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dlm-fm ltd</author>
  </authors>
  <commentList>
    <comment ref="E8" authorId="0">
      <text>
        <r>
          <rPr>
            <b/>
            <sz val="8"/>
            <rFont val="Tahoma"/>
            <family val="2"/>
          </rPr>
          <t>RMB:
Tragen Sie hier den für den Geltungsbereich gültigen Tariflohn ein.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Nur den tatsächlichen Anteil der GV - Löhne im Verhältnis zum objektbezogenen Produktivlohn SV - pflichtig, wenn GV - Einsatz unvermeidlich!</t>
        </r>
      </text>
    </comment>
  </commentList>
</comments>
</file>

<file path=xl/comments6.xml><?xml version="1.0" encoding="utf-8"?>
<comments xmlns="http://schemas.openxmlformats.org/spreadsheetml/2006/main">
  <authors>
    <author>Administrator</author>
    <author>dlm-fm ltd</author>
  </authors>
  <commentList>
    <comment ref="E8" authorId="0">
      <text>
        <r>
          <rPr>
            <b/>
            <sz val="8"/>
            <rFont val="Tahoma"/>
            <family val="2"/>
          </rPr>
          <t>RMB:
Tragen Sie hier den für den Geltungsbereich gültigen Tariflohn ein.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Nur den tatsächlichen Anteil der GV - Löhne im Verhältnis zum objektbezogenen Produktivlohn SV - pflichtig, wenn GV - Einsatz unvermeidlich!</t>
        </r>
      </text>
    </comment>
  </commentList>
</comments>
</file>

<file path=xl/comments7.xml><?xml version="1.0" encoding="utf-8"?>
<comments xmlns="http://schemas.openxmlformats.org/spreadsheetml/2006/main">
  <authors>
    <author>Administrator</author>
    <author>dlm-fm ltd</author>
  </authors>
  <commentList>
    <comment ref="E8" authorId="0">
      <text>
        <r>
          <rPr>
            <b/>
            <sz val="8"/>
            <rFont val="Tahoma"/>
            <family val="2"/>
          </rPr>
          <t>RMB:
Tragen Sie hier den für den Geltungsbereich gültigen Tariflohn ein.</t>
        </r>
        <r>
          <rPr>
            <sz val="8"/>
            <rFont val="Tahoma"/>
            <family val="2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2"/>
          </rPr>
          <t>RMB:
Tragen Sie hier den geltenden Prozentzatz für die jeweilige Position ein. Berechnung erfolgt.</t>
        </r>
        <r>
          <rPr>
            <sz val="8"/>
            <rFont val="Tahoma"/>
            <family val="2"/>
          </rPr>
          <t xml:space="preserve">
</t>
        </r>
      </text>
    </comment>
    <comment ref="D55" authorId="1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Nur den tatsächlichen Anteil der GV - Löhne im Verhältnis zum objektbezogenen Produktivlohn SV - pflichtig, wenn GV - Einsatz unvermeidlich!</t>
        </r>
      </text>
    </comment>
  </commentList>
</comments>
</file>

<file path=xl/comments9.xml><?xml version="1.0" encoding="utf-8"?>
<comments xmlns="http://schemas.openxmlformats.org/spreadsheetml/2006/main">
  <authors>
    <author>Zobel-Boenisch</author>
    <author>Boenisch</author>
  </authors>
  <commentList>
    <comment ref="B2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3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4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5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6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8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9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12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7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13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14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15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16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10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B11" authorId="0">
      <text>
        <r>
          <rPr>
            <b/>
            <sz val="8"/>
            <rFont val="Tahoma"/>
            <family val="2"/>
          </rPr>
          <t>RMB:</t>
        </r>
        <r>
          <rPr>
            <sz val="8"/>
            <rFont val="Tahoma"/>
            <family val="2"/>
          </rPr>
          <t xml:space="preserve">
Tragen Sie hier Ihre Reinigungsflächenleistung
für die jeweiligen Raumgruppen ein.</t>
        </r>
      </text>
    </comment>
    <comment ref="C30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2"/>
          </rPr>
          <t xml:space="preserve">RMB:
Tragen Sie hier Ihren
Netto-Gesamtpreis für ggf. erforderlichen Steigereinsatz ein.
</t>
        </r>
        <r>
          <rPr>
            <sz val="8"/>
            <rFont val="Tahoma"/>
            <family val="2"/>
          </rPr>
          <t>Falls kein Steiger nötig, tragen Sie 0,00 ein.</t>
        </r>
        <r>
          <rPr>
            <b/>
            <sz val="8"/>
            <rFont val="Tahoma"/>
            <family val="2"/>
          </rPr>
          <t xml:space="preserve">
Berechnung Gesamtpreis erfolgt.</t>
        </r>
        <r>
          <rPr>
            <sz val="8"/>
            <rFont val="Tahoma"/>
            <family val="2"/>
          </rPr>
          <t xml:space="preserve">
</t>
        </r>
      </text>
    </comment>
    <comment ref="C20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21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  <comment ref="C22" authorId="1">
      <text>
        <r>
          <rPr>
            <b/>
            <sz val="10"/>
            <rFont val="Tahoma"/>
            <family val="2"/>
          </rPr>
          <t>RMB: 
Geben Sie hier
Ihren Leistungswert ein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<sst xmlns="http://schemas.openxmlformats.org/spreadsheetml/2006/main" count="2079" uniqueCount="562">
  <si>
    <t>Matrix S-Verweis Baubetriebshof Unterhaltsreinigung</t>
  </si>
  <si>
    <t xml:space="preserve">in m² </t>
  </si>
  <si>
    <t>Leistung</t>
  </si>
  <si>
    <t>m² / h</t>
  </si>
  <si>
    <t>Jahreskosten</t>
  </si>
  <si>
    <t>Monatskosten</t>
  </si>
  <si>
    <t>Preis pro m² und Monat</t>
  </si>
  <si>
    <t>Mwst:</t>
  </si>
  <si>
    <t>Netto:</t>
  </si>
  <si>
    <t>Brutto:</t>
  </si>
  <si>
    <t>Objektbezeichnung:</t>
  </si>
  <si>
    <t>Reinigungstage:</t>
  </si>
  <si>
    <t>qm/Std.</t>
  </si>
  <si>
    <t>Turnus pro Woche</t>
  </si>
  <si>
    <t>Reinigungsgruppe</t>
  </si>
  <si>
    <t>Raum-Bezeichnung</t>
  </si>
  <si>
    <t>EG</t>
  </si>
  <si>
    <t xml:space="preserve">EP (EUR/qm) </t>
  </si>
  <si>
    <t>Flächen (qm)</t>
  </si>
  <si>
    <t xml:space="preserve">Fläche (qm) </t>
  </si>
  <si>
    <t>Jahreskosten Netto (EUR)</t>
  </si>
  <si>
    <t>Jahreskosten Brutto (EUR)</t>
  </si>
  <si>
    <t>Fliesen</t>
  </si>
  <si>
    <t>Ort:</t>
  </si>
  <si>
    <t>Putzabzug:</t>
  </si>
  <si>
    <t>Netto-Fläche</t>
  </si>
  <si>
    <t xml:space="preserve">Reinigungs-Fläche </t>
  </si>
  <si>
    <t>Grundreinigung</t>
  </si>
  <si>
    <t>Boden-belag</t>
  </si>
  <si>
    <t>Objektbetreuer/ Hausmeister (Tel.)</t>
  </si>
  <si>
    <t>Kosten pro Ausführung  Netto (EUR)</t>
  </si>
  <si>
    <t>Kosten pro Ausführung  Brutto (EUR)</t>
  </si>
  <si>
    <t>Stundenver-rechnungssatz</t>
  </si>
  <si>
    <t>Gebäudereinigungsarbeiten</t>
  </si>
  <si>
    <t>Adresse:</t>
  </si>
  <si>
    <t>F2 Treppenhäuser</t>
  </si>
  <si>
    <t>H2 Sanitärräume (Umkleiden, Waschräume, Duschen)</t>
  </si>
  <si>
    <t>Küche</t>
  </si>
  <si>
    <t>H1 Sanitärräume (Toiletten)</t>
  </si>
  <si>
    <t>XXXXXXXXX</t>
  </si>
  <si>
    <t>Flur</t>
  </si>
  <si>
    <t>WC</t>
  </si>
  <si>
    <r>
      <t xml:space="preserve">Anmerkung: </t>
    </r>
    <r>
      <rPr>
        <sz val="10"/>
        <rFont val="Arial"/>
        <family val="2"/>
      </rPr>
      <t>Nur in der</t>
    </r>
    <r>
      <rPr>
        <b/>
        <sz val="10"/>
        <rFont val="Arial"/>
        <family val="2"/>
      </rPr>
      <t xml:space="preserve"> Erst-Grundreinigung zu Vertragsbeginn </t>
    </r>
    <r>
      <rPr>
        <sz val="10"/>
        <rFont val="Arial"/>
        <family val="2"/>
      </rPr>
      <t>sind die Sanitärflächen enthalten.</t>
    </r>
  </si>
  <si>
    <t>C Verwaltungs- und Büroräume</t>
  </si>
  <si>
    <t xml:space="preserve">Monatsreini­gungsfläche m² </t>
  </si>
  <si>
    <t>Büro</t>
  </si>
  <si>
    <t>F3 Aufzug</t>
  </si>
  <si>
    <t>M1 Sport- und Mehrzweckhallen</t>
  </si>
  <si>
    <t>Summen:</t>
  </si>
  <si>
    <t>Monatsstun-den</t>
  </si>
  <si>
    <t>PVC</t>
  </si>
  <si>
    <t>Foyer</t>
  </si>
  <si>
    <t>WC Damen</t>
  </si>
  <si>
    <t>WC Herren</t>
  </si>
  <si>
    <t>Linoleum</t>
  </si>
  <si>
    <t>GP (EUR) zzgl. Mw.St.</t>
  </si>
  <si>
    <t>GP (EUR) incl. Mw.St.</t>
  </si>
  <si>
    <t>XXXXXXXXXXX</t>
  </si>
  <si>
    <t>Richtwert beachten!</t>
  </si>
  <si>
    <t>B Gruppen-, Schlaf- und Speiseräume von Kindergärten bzw. -horten</t>
  </si>
  <si>
    <t>L Lager-, Abstellräume</t>
  </si>
  <si>
    <t>Teppich</t>
  </si>
  <si>
    <t>Steigerkosten (falls erforderlich)</t>
  </si>
  <si>
    <r>
      <t>Richtwert qm/Std. + 5% Toleranz</t>
    </r>
    <r>
      <rPr>
        <b/>
        <sz val="10"/>
        <color indexed="10"/>
        <rFont val="Arial"/>
        <family val="2"/>
      </rPr>
      <t xml:space="preserve"> (Obergrenze)</t>
    </r>
  </si>
  <si>
    <t>Rathaus</t>
  </si>
  <si>
    <t>Matrix S-Verweis Rathaus Unterhaltsreinigung</t>
  </si>
  <si>
    <t xml:space="preserve">Aufbau des kalkulatorischen Stundenverrechnungssatzes ggf. mit auftragsbezogenen Zuschlägen für die Unterhaltsreinigung in Turn- und Gemeindehallen
</t>
  </si>
  <si>
    <t xml:space="preserve">Los. Nr.  </t>
  </si>
  <si>
    <t>Empfang</t>
  </si>
  <si>
    <t>A2 Aufbahrungsräume, Kühlräume</t>
  </si>
  <si>
    <t>J Sozialräume (Gemeinschaftsräume, Speiseräume, Teeküchen einschließlich Flure in diesen Bereichen)</t>
  </si>
  <si>
    <t>Titel 2: Angebot Grundreinigung (GR)</t>
  </si>
  <si>
    <t>WC Personal</t>
  </si>
  <si>
    <r>
      <t>EP (EUR/qm</t>
    </r>
    <r>
      <rPr>
        <sz val="10"/>
        <rFont val="Arial"/>
        <family val="0"/>
      </rPr>
      <t xml:space="preserve">) </t>
    </r>
  </si>
  <si>
    <t>Summe Los 1 + Los 2 + Los 3</t>
  </si>
  <si>
    <t>XXXXXXXXXX</t>
  </si>
  <si>
    <t>Leistung      qm/Std.</t>
  </si>
  <si>
    <t>Bodenbelag</t>
  </si>
  <si>
    <t>Behinderten WC</t>
  </si>
  <si>
    <r>
      <t>SV</t>
    </r>
    <r>
      <rPr>
        <sz val="12"/>
        <rFont val="Verdana"/>
        <family val="2"/>
      </rPr>
      <t xml:space="preserve"> = soz.versich.pflichtige Beschäftigung    </t>
    </r>
    <r>
      <rPr>
        <b/>
        <sz val="12"/>
        <rFont val="Verdana"/>
        <family val="2"/>
      </rPr>
      <t xml:space="preserve"> GV</t>
    </r>
    <r>
      <rPr>
        <sz val="12"/>
        <rFont val="Verdana"/>
        <family val="2"/>
      </rPr>
      <t xml:space="preserve"> = geringfügige Beschäftigung</t>
    </r>
  </si>
  <si>
    <t>SV</t>
  </si>
  <si>
    <t>GV</t>
  </si>
  <si>
    <t>Tariflohn SV</t>
  </si>
  <si>
    <t>Tariflohn GV</t>
  </si>
  <si>
    <t>Angaben in</t>
  </si>
  <si>
    <t>%</t>
  </si>
  <si>
    <t>€</t>
  </si>
  <si>
    <t>A) Sozialversicherung + Pausch - Steuer</t>
  </si>
  <si>
    <t>1)  Rentenversicherung auf Produktivlohn*</t>
  </si>
  <si>
    <t>1a)  Rentenversicherung auf Soziallöhne</t>
  </si>
  <si>
    <t>2)  Krankenversicherung mit Insolvenz - Umlage auf PL*</t>
  </si>
  <si>
    <t>2a)  Krankenversicherung auf Soziallöhne</t>
  </si>
  <si>
    <t>3)  Arbeitslosenversicherung auf Produktivlohn*</t>
  </si>
  <si>
    <t>3a)  Arbeitslosenversicherung auf Soziallöhne</t>
  </si>
  <si>
    <t>4)  Pflegeversicherung / Pausch. Steuer auf PL*</t>
  </si>
  <si>
    <t>4a)  Pflegeversicherung auf Soziallöhne</t>
  </si>
  <si>
    <t>5a)  U2 Mutterschaftsaufwendungen auf Soziallöhne</t>
  </si>
  <si>
    <t>6)  Gesetzliche Unfallversicherung</t>
  </si>
  <si>
    <t>7)  Schwerbehindertenabgabe</t>
  </si>
  <si>
    <t>Summe Position A</t>
  </si>
  <si>
    <t>B) Lohnfolgekosten</t>
  </si>
  <si>
    <t>1) Urlaub</t>
  </si>
  <si>
    <t>2) Zusätzliches Urlaubsgeld</t>
  </si>
  <si>
    <t>3) Gesetzliche Feiertage</t>
  </si>
  <si>
    <t>4) Gesetzliche Lohnfortzahlung</t>
  </si>
  <si>
    <t>5) Tarifliche Ausfallzeiten</t>
  </si>
  <si>
    <t>6) Auftragsbezogene Zuschläge</t>
  </si>
  <si>
    <t>Summe Position B</t>
  </si>
  <si>
    <t>Summe Positionen A und B</t>
  </si>
  <si>
    <t>C) Lohnnebenkosten</t>
  </si>
  <si>
    <t>1) Beitrag zur Berufsorganisation</t>
  </si>
  <si>
    <t>2) Auftragsbezogener Objektleiterzuschlag</t>
  </si>
  <si>
    <t xml:space="preserve">D) Gehälter für Angestellte </t>
  </si>
  <si>
    <t>1) Kaufmännisches Personal incl. Lohnfolgekosten</t>
  </si>
  <si>
    <t>2) Technisches Personal incl. Lohnfolgekosten</t>
  </si>
  <si>
    <t>Summe Lohn- und Lohngebundene Kosten</t>
  </si>
  <si>
    <t>E) Sonstige Kosten</t>
  </si>
  <si>
    <t>1) Reinigungsmittel und Verbrauchsmaterial</t>
  </si>
  <si>
    <t>2) Maschinen und Geräte (AfA)</t>
  </si>
  <si>
    <t>4) Gemeinkosten</t>
  </si>
  <si>
    <t>5) Betriebshaftpflicht</t>
  </si>
  <si>
    <t>6) Gewerbesteuer</t>
  </si>
  <si>
    <t>Summe Positionen E</t>
  </si>
  <si>
    <t>F) Gesamtkosten (Tariflohn + Pos. A bis E)</t>
  </si>
  <si>
    <t>Risiko + Gewinn</t>
  </si>
  <si>
    <t>Summe Selbstkosten + Gewinnaufschlag</t>
  </si>
  <si>
    <t xml:space="preserve">Stundenverrechnungssatz </t>
  </si>
  <si>
    <t>Anteil Lohn- und Lohngebundene Kosten</t>
  </si>
  <si>
    <t xml:space="preserve">SV </t>
  </si>
  <si>
    <t xml:space="preserve">GV </t>
  </si>
  <si>
    <t>Kontrollfeld</t>
  </si>
  <si>
    <t>Prozentuale Zusammensetzung des produktiven Stundeneinsatzes</t>
  </si>
  <si>
    <t>Stundenverrechnungssatz:</t>
  </si>
  <si>
    <r>
      <t>*</t>
    </r>
    <r>
      <rPr>
        <sz val="8"/>
        <rFont val="Verdana"/>
        <family val="2"/>
      </rPr>
      <t xml:space="preserve"> Sollten im Einzelfall betriebsspezifisch abweichende Prozentsätze gelten, ist eine Korrektur zulässig. </t>
    </r>
  </si>
  <si>
    <t xml:space="preserve">   Diese muß jedoch unbedingt vom Bieter erläutert werden (im Anschreiben zum Angebot)!</t>
  </si>
  <si>
    <t xml:space="preserve">Summe Los 1 </t>
  </si>
  <si>
    <t>Summe Los 2</t>
  </si>
  <si>
    <t>Summe Los 3 "Glas- und Fensterreinigung"</t>
  </si>
  <si>
    <t>Fenster- und Glasreinigung (Los 3)</t>
  </si>
  <si>
    <t>D Funktionsräume</t>
  </si>
  <si>
    <t>2 x m</t>
  </si>
  <si>
    <t xml:space="preserve">Rathaus </t>
  </si>
  <si>
    <t>O Räume der Haustechnik</t>
  </si>
  <si>
    <t xml:space="preserve">Feuerwache </t>
  </si>
  <si>
    <t xml:space="preserve">Baubetriebshof </t>
  </si>
  <si>
    <t>Aussegnungshalle</t>
  </si>
  <si>
    <t>KITA Sonnenschein</t>
  </si>
  <si>
    <t>Hohensteinhalle</t>
  </si>
  <si>
    <t>Bildungszentrum</t>
  </si>
  <si>
    <t>Reinigungs-Objekte</t>
  </si>
  <si>
    <t>Fachraum/Klassenzimmer</t>
  </si>
  <si>
    <t>Eingangshalle/Foyer</t>
  </si>
  <si>
    <t>Flur/Gardarobe</t>
  </si>
  <si>
    <t>Treppe (3,7 x 6,0)</t>
  </si>
  <si>
    <t>Klassenzimmer</t>
  </si>
  <si>
    <t>Klassenzimmer mit Nebenraum</t>
  </si>
  <si>
    <t xml:space="preserve">Treppe-Prodest/Gardarobe  </t>
  </si>
  <si>
    <t xml:space="preserve">Treppe </t>
  </si>
  <si>
    <t xml:space="preserve">Treppe-Prodest/Gardarobe </t>
  </si>
  <si>
    <t>Verwaltung</t>
  </si>
  <si>
    <t>WC Mädchen</t>
  </si>
  <si>
    <t>Vorraum WC</t>
  </si>
  <si>
    <t>WC Jungen</t>
  </si>
  <si>
    <t>Lehrer WC</t>
  </si>
  <si>
    <t xml:space="preserve">GTS/Elternsprechzi.+ Flur </t>
  </si>
  <si>
    <t xml:space="preserve">Aufzug </t>
  </si>
  <si>
    <t>Kinderküche</t>
  </si>
  <si>
    <t>Flur-WC + Gardarobe-Info</t>
  </si>
  <si>
    <t>Warten</t>
  </si>
  <si>
    <t>Lehrerzimmer</t>
  </si>
  <si>
    <t>Kopierraum</t>
  </si>
  <si>
    <t>Schulleitung</t>
  </si>
  <si>
    <t>Sekretariat</t>
  </si>
  <si>
    <t>offener Lehrraum/Vorbereitung</t>
  </si>
  <si>
    <t>Lehrmittel</t>
  </si>
  <si>
    <t>Flur + Gardarobe</t>
  </si>
  <si>
    <t>Windfang Schule</t>
  </si>
  <si>
    <t>Rampe</t>
  </si>
  <si>
    <t>Treppe-Flur</t>
  </si>
  <si>
    <t>Mensa</t>
  </si>
  <si>
    <t xml:space="preserve">Mehrzweckraum </t>
  </si>
  <si>
    <t>Elternsprechzimmer</t>
  </si>
  <si>
    <t>GTS-Raum 3</t>
  </si>
  <si>
    <t>GTS-Raum 4</t>
  </si>
  <si>
    <t>Treppe</t>
  </si>
  <si>
    <t>Abstellraum</t>
  </si>
  <si>
    <t>Galerie GTS</t>
  </si>
  <si>
    <t>Mensa + Gem.raum</t>
  </si>
  <si>
    <t>Kita</t>
  </si>
  <si>
    <t>Schlafraum</t>
  </si>
  <si>
    <t>Essen</t>
  </si>
  <si>
    <t>Spielflur</t>
  </si>
  <si>
    <t>Gartenschleuse</t>
  </si>
  <si>
    <t>Gruppemraum 1</t>
  </si>
  <si>
    <t>Gruppennebenraum 1</t>
  </si>
  <si>
    <t>Gruppenraum 2</t>
  </si>
  <si>
    <t>Gruppennebenraum 2</t>
  </si>
  <si>
    <t>Windfang Kiga</t>
  </si>
  <si>
    <t xml:space="preserve">Büro Leitung </t>
  </si>
  <si>
    <t>Werkraum</t>
  </si>
  <si>
    <t>Flur I</t>
  </si>
  <si>
    <t>Personalraum</t>
  </si>
  <si>
    <t>Vorraum/Lager/Mehrzweck-raum</t>
  </si>
  <si>
    <t>Flur II</t>
  </si>
  <si>
    <t xml:space="preserve">Materialraum </t>
  </si>
  <si>
    <t>Sanitär</t>
  </si>
  <si>
    <t>Treppe Rutsche</t>
  </si>
  <si>
    <t>Galerie Gruppenraum 1</t>
  </si>
  <si>
    <t>überdachte Terrasse</t>
  </si>
  <si>
    <t>Rein.Tage</t>
  </si>
  <si>
    <t>Matrix S-Verweis BZ Unterhaltsreinigung</t>
  </si>
  <si>
    <t>Halle</t>
  </si>
  <si>
    <t>Windfang Foyer</t>
  </si>
  <si>
    <t>Treppe Foyer</t>
  </si>
  <si>
    <t xml:space="preserve">Herren/Damen/Behinderten WC + Vorraum  </t>
  </si>
  <si>
    <t>Flur (Foyer zum WC)</t>
  </si>
  <si>
    <t>Sportler-Umkleiden + Duschraum + WC</t>
  </si>
  <si>
    <t>Sportlereingang und Vorraum</t>
  </si>
  <si>
    <t>Regieraum</t>
  </si>
  <si>
    <t>Vereinszimmer</t>
  </si>
  <si>
    <t>WC Vereinszimmer und Flur</t>
  </si>
  <si>
    <t>Windfang Vereinszimmer</t>
  </si>
  <si>
    <t xml:space="preserve">Tribüne </t>
  </si>
  <si>
    <t>Gymnastikraum</t>
  </si>
  <si>
    <t>Vorraum</t>
  </si>
  <si>
    <t>Flur, Vorraum, Sportlereingang+Treppe</t>
  </si>
  <si>
    <t>WC Damen und Herren</t>
  </si>
  <si>
    <t>Turnlehrer</t>
  </si>
  <si>
    <t>Schiedsrichter</t>
  </si>
  <si>
    <t>Umkleiden</t>
  </si>
  <si>
    <t>Duschraum</t>
  </si>
  <si>
    <t>Flur, Vorraum + Treppe EG</t>
  </si>
  <si>
    <t>Flur, Vorraum + Treppe    1.OG+ DG</t>
  </si>
  <si>
    <t xml:space="preserve">Vorraum OG + DG </t>
  </si>
  <si>
    <t>WC OG</t>
  </si>
  <si>
    <t>WC DG Pers</t>
  </si>
  <si>
    <t>Gruppenraum OG + DG</t>
  </si>
  <si>
    <t>Teeküche OG</t>
  </si>
  <si>
    <t xml:space="preserve">Abstellraum OG </t>
  </si>
  <si>
    <t>Büro Bauhofleiter</t>
  </si>
  <si>
    <t>Windfang und Flur</t>
  </si>
  <si>
    <t>Pausenraum</t>
  </si>
  <si>
    <t>Trockenraum</t>
  </si>
  <si>
    <t>Waschraum und Umkleide</t>
  </si>
  <si>
    <t>Sakristei</t>
  </si>
  <si>
    <t>Doppelzelle Nr. 1</t>
  </si>
  <si>
    <t>Zelle Nr. 2 - 4</t>
  </si>
  <si>
    <t>Schaugang</t>
  </si>
  <si>
    <t>Offene Halle</t>
  </si>
  <si>
    <t>Windfang I und II</t>
  </si>
  <si>
    <t xml:space="preserve">Windfang Schmutzfangmatte </t>
  </si>
  <si>
    <t>Aufenthaltsraum</t>
  </si>
  <si>
    <t>Halle + Flur (zur Treppe)</t>
  </si>
  <si>
    <t>Windfang</t>
  </si>
  <si>
    <t>WC/Sanitär</t>
  </si>
  <si>
    <t>Personal-WC</t>
  </si>
  <si>
    <t>Essraum und Küche</t>
  </si>
  <si>
    <t>Vorratsraum</t>
  </si>
  <si>
    <t>Altbau EG</t>
  </si>
  <si>
    <t>Gruppenraum 1</t>
  </si>
  <si>
    <t>Kleingruppenraum 1</t>
  </si>
  <si>
    <t>Kleingruppenraum 2</t>
  </si>
  <si>
    <t>PVC/Stein</t>
  </si>
  <si>
    <t>Schmutzfang-matte</t>
  </si>
  <si>
    <t>Stein</t>
  </si>
  <si>
    <t>Fliesen/PVC</t>
  </si>
  <si>
    <t>Vorplatz / Garderobe 1+2</t>
  </si>
  <si>
    <t>Büro Leiterin</t>
  </si>
  <si>
    <t>Krippe Gruppenraum 1</t>
  </si>
  <si>
    <t>Schlafraum Krippe1</t>
  </si>
  <si>
    <t>Krippe Gruppenraum 2</t>
  </si>
  <si>
    <t>Schlafraum Krippe2</t>
  </si>
  <si>
    <t>Wickel / Sanitärraum</t>
  </si>
  <si>
    <t>Teeküche</t>
  </si>
  <si>
    <t>Flur/Gardarobe/KiWa-Abstell.</t>
  </si>
  <si>
    <t>Krippe EG</t>
  </si>
  <si>
    <t>Holz</t>
  </si>
  <si>
    <t>UG</t>
  </si>
  <si>
    <t>Geräteraum</t>
  </si>
  <si>
    <t>Sanitärraum</t>
  </si>
  <si>
    <t>Vorplatz</t>
  </si>
  <si>
    <t>Flur und Aufzug</t>
  </si>
  <si>
    <t>Technikraum</t>
  </si>
  <si>
    <t>Materialraum 2</t>
  </si>
  <si>
    <t>Materialraum 1</t>
  </si>
  <si>
    <t>Schlafraum/ Gruppenraum</t>
  </si>
  <si>
    <t>WC/Dusche Sanitärraum</t>
  </si>
  <si>
    <t>Personal - WC</t>
  </si>
  <si>
    <t>OG</t>
  </si>
  <si>
    <t>M1 Sport- und Mehrzweckhallen (Gymnastikhalle)</t>
  </si>
  <si>
    <t>K Küchen (mit Speise- und Vorratsräumen)</t>
  </si>
  <si>
    <t>Sandeintrag !</t>
  </si>
  <si>
    <t>H1 Sanitärräume (Toiletten und Waschräume)</t>
  </si>
  <si>
    <t>J Sozialräume (Teeküchen, Personalaufenthalt)</t>
  </si>
  <si>
    <t>B Gruppen- und Schlafräume von Kindergärten bzw. -horten</t>
  </si>
  <si>
    <t>GR</t>
  </si>
  <si>
    <r>
      <t>Matrix S-Verweis KITA Sonnenschein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Unterhaltsreinigung</t>
    </r>
  </si>
  <si>
    <t>F1 Verkehrsflächen (Flure einschl. Garderoben, Eingangsbereiche, Windfang, Aufzug)</t>
  </si>
  <si>
    <t>Gemeinde Gingen a.d.F.</t>
  </si>
  <si>
    <t>Aussegnungshalle (Friedhof)</t>
  </si>
  <si>
    <t>Matrix S-Verweis Aussegnungshalle Unterhaltsreinigung</t>
  </si>
  <si>
    <t>Matrix S-Verweis Feuerwache Unterhaltsreinigung</t>
  </si>
  <si>
    <t>Grundschule EG</t>
  </si>
  <si>
    <t>Grundschule 1.OG</t>
  </si>
  <si>
    <t>Grundschule 2.OG</t>
  </si>
  <si>
    <t>Lino</t>
  </si>
  <si>
    <t>Verwaltung EG</t>
  </si>
  <si>
    <t>Verwaltung 1.OG</t>
  </si>
  <si>
    <t>Sauberlauf</t>
  </si>
  <si>
    <t>Bildungszentrum: Grundschule, Kita Hohenstein</t>
  </si>
  <si>
    <t>A1 Klassenräume</t>
  </si>
  <si>
    <t>A2 Fachräume, Gruppenräume, Mehrzweckräume</t>
  </si>
  <si>
    <t>C Verwaltungs- und Büroräume, Besprechungsräume, Lehrerzimmer</t>
  </si>
  <si>
    <t>D Funktionsräume, Kopierräume, Unterrichtsvorbereitung</t>
  </si>
  <si>
    <t>F1 Foyer, Flure, Verkehrsflächen einschl. Garderoben</t>
  </si>
  <si>
    <t>J Sozialräume (Warteräume, Mensa, Personalaufenthalt, Teeküchen)</t>
  </si>
  <si>
    <t>K1 Küchen einschl. Vorratsräume</t>
  </si>
  <si>
    <t>K2 Lehrküchen einschl. Vorratsräume</t>
  </si>
  <si>
    <t>L Lager, Abstellräume, Archive</t>
  </si>
  <si>
    <t>M2 Lehrschwimmhallen</t>
  </si>
  <si>
    <t>P4 Windfang</t>
  </si>
  <si>
    <t>P5 Außenkehrflächen</t>
  </si>
  <si>
    <t>Matrix S-Verweis BZ Schwimmhalle Unterhaltsreinigung</t>
  </si>
  <si>
    <t xml:space="preserve">Schwimmbad </t>
  </si>
  <si>
    <t>Garderobe/Nebenraum</t>
  </si>
  <si>
    <t>190/210/228</t>
  </si>
  <si>
    <t>Treppe/ Flur</t>
  </si>
  <si>
    <t>Treppe / Absatz</t>
  </si>
  <si>
    <t>Ton-Bastel-Werkfaum+Server</t>
  </si>
  <si>
    <t>Chemielager</t>
  </si>
  <si>
    <t>Technikraum/Lager</t>
  </si>
  <si>
    <t>WWB-Filter-Lüftungsanlage</t>
  </si>
  <si>
    <t>Schwallwasserbehälter</t>
  </si>
  <si>
    <t>Flur-Lehrerumkleide</t>
  </si>
  <si>
    <t>Vorraum Haartrockner + Flur Mädchen</t>
  </si>
  <si>
    <t>Umkleide Mädchen</t>
  </si>
  <si>
    <t>Duschen / WC Mädchen</t>
  </si>
  <si>
    <t>VHS / Lehrer / erste Hilfe</t>
  </si>
  <si>
    <t>Duschen/WC Jungs</t>
  </si>
  <si>
    <t>Umkleide Jungs</t>
  </si>
  <si>
    <t>Schwimmhalle - Umgang</t>
  </si>
  <si>
    <t>Fliesen/Beton</t>
  </si>
  <si>
    <t>2 x tgl.!</t>
  </si>
  <si>
    <t>F Verkehrsflächen (Foyer, Eingangsbereiche, Flure, Treppenhäuser, Windfänge)</t>
  </si>
  <si>
    <t>H1 Sanitärräume (Toiletten) einschl. Vorräume</t>
  </si>
  <si>
    <t>J Sozialräume (Personalaufenthalt, Teeküchen einschließlich Flure in diesen Bereichen)</t>
  </si>
  <si>
    <t>L Lager, Abstellräume</t>
  </si>
  <si>
    <t>N Sonst. Räume im Sportbereich</t>
  </si>
  <si>
    <t>GTS/ HMWohnung</t>
  </si>
  <si>
    <t>PVC-Schwingboden</t>
  </si>
  <si>
    <t>Flies-Matte</t>
  </si>
  <si>
    <t>k.A.</t>
  </si>
  <si>
    <t>Vinyllaminat   á 5,25 qm</t>
  </si>
  <si>
    <t>Vinyllaminat  á 34,30 m²</t>
  </si>
  <si>
    <t>Vinyllaminat</t>
  </si>
  <si>
    <t>Parkett</t>
  </si>
  <si>
    <t>Bühne: 2 x j GR a' 93,75 qm</t>
  </si>
  <si>
    <t>Vorzimmer Kämmerei</t>
  </si>
  <si>
    <t>Kämmerer</t>
  </si>
  <si>
    <t>Steueramt</t>
  </si>
  <si>
    <t>Gemeindekasse</t>
  </si>
  <si>
    <t>Kämmerei Zi.7 Vamosi</t>
  </si>
  <si>
    <t>Ordnungsamt</t>
  </si>
  <si>
    <t>Bürgerbüro</t>
  </si>
  <si>
    <t>Standesamt</t>
  </si>
  <si>
    <t>VHS-Leiterin</t>
  </si>
  <si>
    <t>Trauzimmer</t>
  </si>
  <si>
    <t>VHS/Vereinszimmer</t>
  </si>
  <si>
    <t>Materiallager</t>
  </si>
  <si>
    <t>Flur / Foyer</t>
  </si>
  <si>
    <t>Treppe zum Keller</t>
  </si>
  <si>
    <t>Treppe zum Obergeschoss</t>
  </si>
  <si>
    <t>Bücherei</t>
  </si>
  <si>
    <t>siehe extra</t>
  </si>
  <si>
    <t>Berech-nung</t>
  </si>
  <si>
    <t>ausblenden!</t>
  </si>
  <si>
    <t>Bürgermeister</t>
  </si>
  <si>
    <t>Vorzimmer Bürgermeister</t>
  </si>
  <si>
    <t>Kopierzimmer/Registratur</t>
  </si>
  <si>
    <t>Hauptamt</t>
  </si>
  <si>
    <t>Ortsbaumeister</t>
  </si>
  <si>
    <t>Besprechungszimmer/Küche</t>
  </si>
  <si>
    <t>Bauregistratur</t>
  </si>
  <si>
    <t>kleiner Besprechungsraum</t>
  </si>
  <si>
    <t>Sitzungssaal</t>
  </si>
  <si>
    <t>Sitzungssaal/Gardarobe</t>
  </si>
  <si>
    <t>C1 Verwaltungs- und Büroräume</t>
  </si>
  <si>
    <t>C2 Besprechungs- und Sitzungsräume (einschl. Garderoben)</t>
  </si>
  <si>
    <t>D Funktionsräume, Kopierräume</t>
  </si>
  <si>
    <t>E Bibliotheken</t>
  </si>
  <si>
    <t>F1 Foyer, Eingangsbereiche (mit Windfang), Flure einschl. Garderoben</t>
  </si>
  <si>
    <t xml:space="preserve">F2 Sonst. Verkehrsflächen </t>
  </si>
  <si>
    <t>F3 Treppenhäuser</t>
  </si>
  <si>
    <t>F Foyer, Eingangsbereiche, Flure, Windfang</t>
  </si>
  <si>
    <t>Kokosmatte</t>
  </si>
  <si>
    <t>Glattbelag</t>
  </si>
  <si>
    <t xml:space="preserve">A1 Kapelle und offene Halle </t>
  </si>
  <si>
    <t>F Eingangsbereiche, Flure, Windfang</t>
  </si>
  <si>
    <t>J Sozialräume (Aufenthalt, Kantine, Cafeteria Speiseräume, Teeküchen einschließlich Flure in diesen Bereichen)</t>
  </si>
  <si>
    <t>L Lager</t>
  </si>
  <si>
    <t>C1 Verwaltungs- und Büroräume, Schulungsräume</t>
  </si>
  <si>
    <t>Umkleide Herren</t>
  </si>
  <si>
    <t>Umkleide Damen</t>
  </si>
  <si>
    <t>Waschraum Herren</t>
  </si>
  <si>
    <t>WC Vorraum Herren</t>
  </si>
  <si>
    <t>WC Vorraum Damen</t>
  </si>
  <si>
    <t>Lagerraum 1</t>
  </si>
  <si>
    <t>Lagerraum 2</t>
  </si>
  <si>
    <t>Kleiderkammer</t>
  </si>
  <si>
    <t>Einsatzzentrale</t>
  </si>
  <si>
    <t xml:space="preserve">Flur </t>
  </si>
  <si>
    <t>Schleuse</t>
  </si>
  <si>
    <t>Aufzug</t>
  </si>
  <si>
    <t>Kommandant</t>
  </si>
  <si>
    <t>Garderobe</t>
  </si>
  <si>
    <t>Treppenraum</t>
  </si>
  <si>
    <t>ZG</t>
  </si>
  <si>
    <t>Unterrichtsraum</t>
  </si>
  <si>
    <t>Jugendfeuerwehr</t>
  </si>
  <si>
    <t>Stuhllager</t>
  </si>
  <si>
    <t>Vorplatz/Flur</t>
  </si>
  <si>
    <t>Raum für Schlauchreinigung</t>
  </si>
  <si>
    <t>Reinigung Atemschutzmasken</t>
  </si>
  <si>
    <t>Hausanschlussraum</t>
  </si>
  <si>
    <t>1 x m</t>
  </si>
  <si>
    <t>D Funktionsraum</t>
  </si>
  <si>
    <t xml:space="preserve">F1 Verkehrsflächen, Flure, Windfang </t>
  </si>
  <si>
    <t>12/ 52</t>
  </si>
  <si>
    <t>Häufigkeit: 1 x j</t>
  </si>
  <si>
    <r>
      <t xml:space="preserve">Ausführung </t>
    </r>
    <r>
      <rPr>
        <sz val="10"/>
        <rFont val="Arial"/>
        <family val="0"/>
      </rPr>
      <t>gem. LV</t>
    </r>
  </si>
  <si>
    <t>Matrix S-Verweis Hohensteinhalle Unterhaltsreinigung</t>
  </si>
  <si>
    <t xml:space="preserve">Richtwert-Vorgabe Reinigungs-leistung UHR qm/Std. </t>
  </si>
  <si>
    <t>Titel 1:  Angebot Unterhaltsreinigung (UHR)</t>
  </si>
  <si>
    <t>Häufigkeit (pro Woche)</t>
  </si>
  <si>
    <t xml:space="preserve">Grundreinigung </t>
  </si>
  <si>
    <t>Ausführung gem. LV</t>
  </si>
  <si>
    <t>Fläche (qm)</t>
  </si>
  <si>
    <t>Summe Fenster- und Glasreinigung gem. LV</t>
  </si>
  <si>
    <t>Summe Grundreinigung gem. LV</t>
  </si>
  <si>
    <t xml:space="preserve">Holzbelag incl. Einpflege/ Polish/ Nässeimprägnierung </t>
  </si>
  <si>
    <t xml:space="preserve">Flex. Glattbelag/ PVC incl. Pflegefilmsanierung/ Beschichtung </t>
  </si>
  <si>
    <t xml:space="preserve">Textile Beläge mittels Sprühextraktion bzw. Shampoonierung </t>
  </si>
  <si>
    <t xml:space="preserve">Fenster, Außentüren mit Rahmen </t>
  </si>
  <si>
    <t>Innentüren mit Rahmen</t>
  </si>
  <si>
    <t xml:space="preserve">Glasbausteine </t>
  </si>
  <si>
    <t xml:space="preserve">Türen, Fenster, Oberlichter mit Rahmen </t>
  </si>
  <si>
    <t xml:space="preserve">Zwischenfenster/Innenfenster und Oberlichter </t>
  </si>
  <si>
    <t xml:space="preserve">Keller- und Außenfenster </t>
  </si>
  <si>
    <t xml:space="preserve">Stein/ Fliesen (mit Fugen) incl. Steinpflegemittel/ Polish/ maschinelles Schrubben/ Polieren  </t>
  </si>
  <si>
    <t>Türen, Fenster, Oberlichter mit Rahmen einschl. Alu-Sims und Brüstung/ Verkleidung</t>
  </si>
  <si>
    <t xml:space="preserve">Fenster/ Zwischenfenster und Türen mit Rahmen </t>
  </si>
  <si>
    <t xml:space="preserve">Parkett incl. Einpflege/ Polish/ Nässeimprägnierung </t>
  </si>
  <si>
    <t xml:space="preserve">Flex. Glattbelag/ PVC/ Lino/ Vinyllaminat incl. Pflegefilmsanierung/ Beschichtung </t>
  </si>
  <si>
    <t>PVC - Schwingboden incl. Pflege/ Beschichtung gem. DIN 18032</t>
  </si>
  <si>
    <t xml:space="preserve">Fenster und Türen mit Rahmen </t>
  </si>
  <si>
    <t xml:space="preserve">Fenster, Oberlichter und Türen mit Rahmen </t>
  </si>
  <si>
    <t xml:space="preserve">Fenster mit Rahmen </t>
  </si>
  <si>
    <r>
      <t xml:space="preserve">Anmerkungen: (1) </t>
    </r>
    <r>
      <rPr>
        <sz val="10"/>
        <rFont val="Arial"/>
        <family val="2"/>
      </rPr>
      <t>Nur in der</t>
    </r>
    <r>
      <rPr>
        <b/>
        <sz val="10"/>
        <rFont val="Arial"/>
        <family val="2"/>
      </rPr>
      <t xml:space="preserve"> Erst-Grundreinigung </t>
    </r>
    <r>
      <rPr>
        <sz val="10"/>
        <rFont val="Arial"/>
        <family val="2"/>
      </rPr>
      <t>sind die Sanitärflächen enthalten.</t>
    </r>
  </si>
  <si>
    <t xml:space="preserve">Flex. Glattbelag/ Lino/ PVC incl. Pflegefilmsanierung/ Beschichtung </t>
  </si>
  <si>
    <t>BT1 UG</t>
  </si>
  <si>
    <t>AUSBLENDEN</t>
  </si>
  <si>
    <t>Jahres-Kosten bei 20 Vertretungstagen p.a.</t>
  </si>
  <si>
    <t>Netto-Tagespreis</t>
  </si>
  <si>
    <t>Preis pro m²</t>
  </si>
  <si>
    <t>Tariflohn Stand 01.01.2018 (Lohngruppe 1)</t>
  </si>
  <si>
    <t>5)  U2 Mutterschaftsaufwend. auf Produktivlohn</t>
  </si>
  <si>
    <t>Tariflohn Stand 01.01.2018 (Lohngruppe 6)</t>
  </si>
  <si>
    <t>(Gültigkeit für Lohngruppe 6 an Werktagen)</t>
  </si>
  <si>
    <t xml:space="preserve">Aufbau des kalkulatorischen Stundenverrechnungssatzes Glas-und Fensterreinigung (Los 3)
</t>
  </si>
  <si>
    <t xml:space="preserve">Tariflohn Stand 01.01.2018 </t>
  </si>
  <si>
    <t>Sehr geehrte Damen und Herren,</t>
  </si>
  <si>
    <r>
      <t xml:space="preserve">Bitte lesen Sie nachfolgenden Text vor Beginn Ihrer Angebotskalkulation sorgfältig durch </t>
    </r>
    <r>
      <rPr>
        <b/>
        <sz val="10"/>
        <rFont val="Tahoma"/>
        <family val="2"/>
      </rPr>
      <t>!</t>
    </r>
    <r>
      <rPr>
        <sz val="10"/>
        <rFont val="Tahoma"/>
        <family val="2"/>
      </rPr>
      <t xml:space="preserve"> </t>
    </r>
  </si>
  <si>
    <r>
      <t xml:space="preserve">Speichern Sie zunächst diese Datei unter </t>
    </r>
    <r>
      <rPr>
        <b/>
        <sz val="10"/>
        <rFont val="Tahoma"/>
        <family val="2"/>
      </rPr>
      <t>veränderter</t>
    </r>
    <r>
      <rPr>
        <sz val="10"/>
        <rFont val="Tahoma"/>
        <family val="2"/>
      </rPr>
      <t xml:space="preserve"> Bezeichnung (z.B. "Kalk_Fa_Mustermann.xls") </t>
    </r>
  </si>
  <si>
    <t>auf einem lokalen Speicherplatz (z.B. Festplatte Ihres Computers) ab.</t>
  </si>
  <si>
    <t>Jetzt erst nehmen Sie alle Kalkulationen auf dieser Datei vor.</t>
  </si>
  <si>
    <t>Die zugehörigen Leistungsverzeichnisse sind zu beachten.</t>
  </si>
  <si>
    <t>Sie können für einzelne Lose oder für alle Lose anbieten.</t>
  </si>
  <si>
    <t>Beim Ausfüllen der elektronischen Kalkulation beachten Sie bitte folgende Hinweise:</t>
  </si>
  <si>
    <t>Sie finden in den Tabellenblättern Zellen mit Kommentaren.</t>
  </si>
  <si>
    <t>Diese sollen Sie beim Ausfüllen unterstützen.</t>
  </si>
  <si>
    <t>Auszufüllen sind ausschließlich die grün markierten Bereiche/ Zellen.</t>
  </si>
  <si>
    <t>Vorhandene Zahlenwerte (Reinigungsflächen, Turnus etc.) dürfen nicht verändert</t>
  </si>
  <si>
    <t xml:space="preserve">werden!  </t>
  </si>
  <si>
    <t xml:space="preserve">Tragen Sie bitte zuerst Namen und komplette Kontaktdaten Ihres Unternehmens  </t>
  </si>
  <si>
    <t>im Tabellenblatt "Gesamt" ein.</t>
  </si>
  <si>
    <t>Beginnen Sie mit der Kalkulation der Stundenverrechnungssätze.</t>
  </si>
  <si>
    <t xml:space="preserve">Tragen Sie als erstes den geltenden Tariflohn ein. </t>
  </si>
  <si>
    <t xml:space="preserve">Auftragsbezogene Zuschläge können ggf. in Ansatz gebracht werden. </t>
  </si>
  <si>
    <t xml:space="preserve">Geben Sie nun in den mit "Matrix" bezeichneten Tabellenblättern Ihre Flächenleistung (m²/Std.) in der </t>
  </si>
  <si>
    <t xml:space="preserve">Die Gesamtkalkulation auf den Objekt-Tabellenblättern (Raumbüchern) erfolgt ebenfalls automatisch. </t>
  </si>
  <si>
    <t>Kosten für ev. notwendigen Hubsteigereinsatz sind anzugeben.</t>
  </si>
  <si>
    <t>Alle berechneten Angebotssummen werden automatisch auf das Blatt "Gesamt" übernommen.</t>
  </si>
  <si>
    <t xml:space="preserve">Beachten Sie die Richtwertvorgaben für die Reinigungsleistung Unterhaltsreinigung </t>
  </si>
  <si>
    <t xml:space="preserve">auf dem Blatt "Gesamt". </t>
  </si>
  <si>
    <t>Ein Überschreiten der Obergrenzen führt zum Ausschluß Ihres Angebots !</t>
  </si>
  <si>
    <t>Tragen Sie abschließend im Blatt "Gesamt" die Anzahl der im Objekt zum Einsatz</t>
  </si>
  <si>
    <t>kommenden Mitarbeiter ein (für die Unterhaltsreinigung).</t>
  </si>
  <si>
    <t xml:space="preserve">Überprüfen Sie die Vollständigkeit Ihrer Angaben! </t>
  </si>
  <si>
    <t>Fehlende Angaben führen zum Ausschluß aus dem Verfahren!</t>
  </si>
  <si>
    <t>Drucken Sie Ihre fertigen Kalkulationsblätter aus und fügen Sie diese als Anlage Ihrem Angebot bei.</t>
  </si>
  <si>
    <t xml:space="preserve">Kopieren (Brennen) Sie das gesamte Dokument abschließend auf CD-R (oder einen Speicher-Stick). </t>
  </si>
  <si>
    <r>
      <t xml:space="preserve">Kennzeichnen Sie den Datenträger mit Ihrem Firmennamen (CD mit Permanentmarker, </t>
    </r>
    <r>
      <rPr>
        <u val="single"/>
        <sz val="10"/>
        <rFont val="Tahoma"/>
        <family val="2"/>
      </rPr>
      <t>keine</t>
    </r>
    <r>
      <rPr>
        <sz val="10"/>
        <rFont val="Tahoma"/>
        <family val="2"/>
      </rPr>
      <t xml:space="preserve"> Auf-</t>
    </r>
  </si>
  <si>
    <t>kleber) und senden diesen mit den übrigen Unterlagen an die in der Ausschreibung genannte Stelle.</t>
  </si>
  <si>
    <t xml:space="preserve">Wichtig: Auf dem Angebots-Blatt (Teil der Ausschreibungsunterlagen) müssen </t>
  </si>
  <si>
    <t xml:space="preserve">Sie zusätzlich unbedingt Ihre Brutto-Gesamtangebotssummen eintragen und </t>
  </si>
  <si>
    <t>unterzeichnen. Andernfalls ist Ihr Angebot von der Vergabe auszuschließen !</t>
  </si>
  <si>
    <t>Für Fragen steht Ihnen Herr Bönisch vom Beratungsinstitut RMB zur Verfügung.</t>
  </si>
  <si>
    <t>Vielen Dank.</t>
  </si>
  <si>
    <t>RMB Reinigungsmanagement</t>
  </si>
  <si>
    <t>RMB Kommunalberatung</t>
  </si>
  <si>
    <t>Augsteiner 46</t>
  </si>
  <si>
    <t>76646 Bruchsal</t>
  </si>
  <si>
    <t>T. 07251/ 307083</t>
  </si>
  <si>
    <t>F. 07251/ 932155</t>
  </si>
  <si>
    <t>M. 0162/ 5486165</t>
  </si>
  <si>
    <t>rmb.boenisch@yahoo.de</t>
  </si>
  <si>
    <t xml:space="preserve">Anzahl Reinigungs-kräfte UHR </t>
  </si>
  <si>
    <t>Bildungszentrum: Schwimmbad</t>
  </si>
  <si>
    <t xml:space="preserve">Gesamtkosten brutto (incl. MwSt.)        </t>
  </si>
  <si>
    <t>Geschoss/Ebene</t>
  </si>
  <si>
    <t xml:space="preserve">Bauteil </t>
  </si>
  <si>
    <t xml:space="preserve">Aufbau des kalkulatorischen Stundenverrechnungssatzes Unterhaltsreinigung (UHR) 
</t>
  </si>
  <si>
    <t xml:space="preserve">Aufbau des kalkulatorischen Stundenverrechnungssatzes Grundreinigung </t>
  </si>
  <si>
    <t>VGSt.</t>
  </si>
  <si>
    <t>Bodenfläche bzw. Fläche Fenster + Glas (einseitiges Aufmaß)</t>
  </si>
  <si>
    <t>Tragen Sie anschließend in der Spalte "%" die entsprechenden Prozentwerte ein. Das Formular</t>
  </si>
  <si>
    <t>Unterhaltsreinigung für die jeweilige Raumgruppe und für die Grundreinigung ein.</t>
  </si>
  <si>
    <t>Die Preisberechnung erfolgt immer automatisch.</t>
  </si>
  <si>
    <t xml:space="preserve">Wilhelmstraße 70 </t>
  </si>
  <si>
    <t>Bildungszentrum/ Hohensteinschule</t>
  </si>
  <si>
    <r>
      <t xml:space="preserve">Bildungszentrum: Schwimmbad </t>
    </r>
    <r>
      <rPr>
        <b/>
        <sz val="10"/>
        <rFont val="Arial"/>
        <family val="2"/>
      </rPr>
      <t>(Vertretungsreinigung)</t>
    </r>
  </si>
  <si>
    <t xml:space="preserve">Aufbau des kalkulatorischen Stundenverrechnungssatzes für die Vertretungsreinigung** Schwimmbad Hohensteinschule
</t>
  </si>
  <si>
    <t>** Zu vertreten ist die Eigenreinigungskraft im Urlaubs- und Krankheitsfall</t>
  </si>
  <si>
    <t xml:space="preserve">Lindenstraße 65 </t>
  </si>
  <si>
    <t>Bahnhofstr. 25</t>
  </si>
  <si>
    <t>Hauffstraße 22</t>
  </si>
  <si>
    <t>Brunnenstr. 47</t>
  </si>
  <si>
    <t xml:space="preserve">Hindenburgstraße 45 </t>
  </si>
  <si>
    <t xml:space="preserve">Brunnenstr. 45 </t>
  </si>
  <si>
    <t>Reinigungstage (geschätzte Vertretungstage p.a.):</t>
  </si>
  <si>
    <t>entsprechende StdVS für die Glas- und Fensterreinigung zu kalkulieren.</t>
  </si>
  <si>
    <t xml:space="preserve">Ebenso verfahren Sie mit der Eingabe des Leistungswerts, wenn Sie für Fachlos 3 anbieten. </t>
  </si>
  <si>
    <r>
      <t>Hinweis:</t>
    </r>
    <r>
      <rPr>
        <b/>
        <sz val="9"/>
        <color indexed="10"/>
        <rFont val="Arial"/>
        <family val="2"/>
      </rPr>
      <t xml:space="preserve"> Da sich Kita Hohenstein, die Mensa und der Mehrzweckraum zum Ausschreibungszeitpunkt in Bau befinden,  </t>
    </r>
  </si>
  <si>
    <t>Angebots-Summen über die Vertragslaufzeit          (3 Jahre)</t>
  </si>
  <si>
    <t xml:space="preserve">                können sich im Zuge der Inbetriebnahme noch Änderungen ergeben.</t>
  </si>
  <si>
    <t>73333 Gingen a.d.Fils</t>
  </si>
  <si>
    <t xml:space="preserve">Zu berechnen sind 4 StdVS für die Lose 1 + 2. Wenn Sie für Los 3 anbieten, ist der </t>
  </si>
  <si>
    <t>errechnet automatisch die Lohnanteile zum Tariflohn.</t>
  </si>
  <si>
    <t>Monatsstunden</t>
  </si>
  <si>
    <r>
      <t xml:space="preserve">                          (2) </t>
    </r>
    <r>
      <rPr>
        <sz val="10"/>
        <rFont val="Arial"/>
        <family val="2"/>
      </rPr>
      <t>Zur Grundreinigung zählen sämtliche im LV aufgeführten Arbeiten (Boden- und Obenarbeiten)</t>
    </r>
  </si>
  <si>
    <r>
      <t xml:space="preserve">                          (3) </t>
    </r>
    <r>
      <rPr>
        <sz val="10"/>
        <rFont val="Arial"/>
        <family val="2"/>
      </rPr>
      <t>Grundreinigungen in den Neubauteilen "Kita" sowie "Mensa + Gemeinschaftsraum" finden nur bei Bedarf statt</t>
    </r>
  </si>
  <si>
    <t xml:space="preserve">Altbau </t>
  </si>
  <si>
    <t>Treppen mit Podest (gesamtes Haus)</t>
  </si>
  <si>
    <t>Sie brauchen dort nichts eingeben! Kontrollieren Sie dort die berechnete durchschnittliche</t>
  </si>
  <si>
    <t>Reinigungsleistung (m²/Std.) und beachten Sie die vorgegebenen Richtwerte auf dem Blatt "Gesamt".</t>
  </si>
  <si>
    <t>Bietername:</t>
  </si>
  <si>
    <t>Sitz des Unternehmens (Ort):</t>
  </si>
  <si>
    <t>Straße:</t>
  </si>
  <si>
    <t>Tel.:</t>
  </si>
  <si>
    <t>Fax:</t>
  </si>
  <si>
    <t>E-Mail:</t>
  </si>
  <si>
    <t>Vom Bieter auszufüllen: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</si>
</sst>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&quot;€&quot;"/>
    <numFmt numFmtId="177" formatCode="[$-407]dddd\,\ d\.\ mmmm\ yyyy"/>
    <numFmt numFmtId="178" formatCode="#,##0.00\ [$€-1]"/>
    <numFmt numFmtId="179" formatCode="0.0"/>
    <numFmt numFmtId="180" formatCode="_-* #,##0.00\ [$€-1]_-;\-* #,##0.00\ [$€-1]_-;_-* &quot;-&quot;??\ [$€-1]_-"/>
    <numFmt numFmtId="181" formatCode="_-* #,##0.00\ [$€-1]_-;\-* #,##0.00\ [$€-1]_-;_-* &quot;-&quot;??\ [$€-1]_-;_-@_-"/>
    <numFmt numFmtId="182" formatCode="0.000"/>
    <numFmt numFmtId="183" formatCode="0.0000"/>
    <numFmt numFmtId="184" formatCode="0.00000"/>
    <numFmt numFmtId="185" formatCode="0.00000000"/>
    <numFmt numFmtId="186" formatCode="0.0000000"/>
    <numFmt numFmtId="187" formatCode="0.000000"/>
    <numFmt numFmtId="188" formatCode="#,##0_ ;\-#,##0\ "/>
    <numFmt numFmtId="189" formatCode="#,##0.00\ &quot;DM&quot;"/>
    <numFmt numFmtId="190" formatCode="#,##0.00\ [$€-1];[Red]\-#,##0.00\ [$€-1]"/>
    <numFmt numFmtId="191" formatCode="#,##0.00\ [$€-1];\-#,##0.00\ [$€-1]"/>
    <numFmt numFmtId="192" formatCode="#,##0\ [$€-1]"/>
    <numFmt numFmtId="193" formatCode="dd/mm/yy"/>
    <numFmt numFmtId="194" formatCode="0.0%"/>
    <numFmt numFmtId="195" formatCode="0.00;[Red]0.00"/>
    <numFmt numFmtId="196" formatCode="0.000%"/>
    <numFmt numFmtId="197" formatCode="0;[Red]0"/>
    <numFmt numFmtId="198" formatCode="#,##0.000000"/>
  </numFmts>
  <fonts count="89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Arial"/>
      <family val="2"/>
    </font>
    <font>
      <b/>
      <sz val="12"/>
      <color indexed="17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color indexed="55"/>
      <name val="Verdana"/>
      <family val="2"/>
    </font>
    <font>
      <b/>
      <sz val="14"/>
      <name val="Verdana"/>
      <family val="2"/>
    </font>
    <font>
      <sz val="10"/>
      <color indexed="16"/>
      <name val="Verdana"/>
      <family val="2"/>
    </font>
    <font>
      <b/>
      <sz val="9"/>
      <name val="Verdana"/>
      <family val="2"/>
    </font>
    <font>
      <sz val="14"/>
      <color indexed="60"/>
      <name val="Verdana"/>
      <family val="2"/>
    </font>
    <font>
      <b/>
      <sz val="10"/>
      <color indexed="60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u val="single"/>
      <sz val="10"/>
      <name val="Tahoma"/>
      <family val="2"/>
    </font>
    <font>
      <i/>
      <sz val="10"/>
      <name val="Tahoma"/>
      <family val="2"/>
    </font>
    <font>
      <u val="single"/>
      <sz val="8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2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u val="single"/>
      <sz val="9"/>
      <color rgb="FFFF0000"/>
      <name val="Arial"/>
      <family val="2"/>
    </font>
    <font>
      <b/>
      <sz val="12"/>
      <color rgb="FFFF0000"/>
      <name val="Arial"/>
      <family val="2"/>
    </font>
    <font>
      <sz val="18"/>
      <color rgb="FFFF0000"/>
      <name val="Arial"/>
      <family val="2"/>
    </font>
    <font>
      <sz val="2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7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7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6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0" xfId="0" applyNumberFormat="1" applyFont="1" applyFill="1" applyBorder="1" applyAlignment="1">
      <alignment vertical="top" wrapText="1"/>
    </xf>
    <xf numFmtId="176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4" fontId="2" fillId="33" borderId="14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2" fontId="1" fillId="33" borderId="16" xfId="0" applyNumberFormat="1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176" fontId="1" fillId="0" borderId="0" xfId="0" applyNumberFormat="1" applyFont="1" applyFill="1" applyBorder="1" applyAlignment="1">
      <alignment vertical="top" wrapText="1"/>
    </xf>
    <xf numFmtId="0" fontId="0" fillId="33" borderId="13" xfId="0" applyFill="1" applyBorder="1" applyAlignment="1">
      <alignment/>
    </xf>
    <xf numFmtId="2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12" fillId="0" borderId="0" xfId="0" applyFont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/>
    </xf>
    <xf numFmtId="4" fontId="2" fillId="34" borderId="23" xfId="0" applyNumberFormat="1" applyFont="1" applyFill="1" applyBorder="1" applyAlignment="1">
      <alignment/>
    </xf>
    <xf numFmtId="4" fontId="2" fillId="34" borderId="24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5" borderId="20" xfId="0" applyFill="1" applyBorder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2" fillId="33" borderId="27" xfId="0" applyNumberFormat="1" applyFont="1" applyFill="1" applyBorder="1" applyAlignment="1">
      <alignment vertical="top" wrapText="1"/>
    </xf>
    <xf numFmtId="0" fontId="2" fillId="33" borderId="28" xfId="0" applyFont="1" applyFill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top" wrapText="1"/>
    </xf>
    <xf numFmtId="176" fontId="1" fillId="33" borderId="29" xfId="0" applyNumberFormat="1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176" fontId="3" fillId="33" borderId="27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2" fontId="2" fillId="33" borderId="13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0" fontId="13" fillId="0" borderId="30" xfId="0" applyFont="1" applyFill="1" applyBorder="1" applyAlignment="1">
      <alignment/>
    </xf>
    <xf numFmtId="0" fontId="12" fillId="36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" fontId="13" fillId="0" borderId="0" xfId="0" applyNumberFormat="1" applyFont="1" applyAlignment="1">
      <alignment horizontal="right"/>
    </xf>
    <xf numFmtId="0" fontId="0" fillId="0" borderId="14" xfId="0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/>
    </xf>
    <xf numFmtId="4" fontId="0" fillId="37" borderId="29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/>
    </xf>
    <xf numFmtId="0" fontId="0" fillId="33" borderId="27" xfId="0" applyFill="1" applyBorder="1" applyAlignment="1">
      <alignment/>
    </xf>
    <xf numFmtId="2" fontId="3" fillId="33" borderId="27" xfId="0" applyNumberFormat="1" applyFont="1" applyFill="1" applyBorder="1" applyAlignment="1">
      <alignment vertical="top" wrapText="1"/>
    </xf>
    <xf numFmtId="2" fontId="3" fillId="33" borderId="19" xfId="0" applyNumberFormat="1" applyFont="1" applyFill="1" applyBorder="1" applyAlignment="1">
      <alignment vertical="top" wrapText="1"/>
    </xf>
    <xf numFmtId="176" fontId="1" fillId="33" borderId="27" xfId="0" applyNumberFormat="1" applyFont="1" applyFill="1" applyBorder="1" applyAlignment="1">
      <alignment vertical="top" wrapText="1"/>
    </xf>
    <xf numFmtId="2" fontId="1" fillId="0" borderId="29" xfId="0" applyNumberFormat="1" applyFont="1" applyBorder="1" applyAlignment="1">
      <alignment vertical="top" wrapText="1"/>
    </xf>
    <xf numFmtId="176" fontId="1" fillId="0" borderId="29" xfId="0" applyNumberFormat="1" applyFont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2" fontId="1" fillId="0" borderId="21" xfId="0" applyNumberFormat="1" applyFont="1" applyBorder="1" applyAlignment="1">
      <alignment vertical="top" wrapText="1"/>
    </xf>
    <xf numFmtId="176" fontId="1" fillId="0" borderId="21" xfId="0" applyNumberFormat="1" applyFont="1" applyBorder="1" applyAlignment="1">
      <alignment vertical="top" wrapText="1"/>
    </xf>
    <xf numFmtId="176" fontId="1" fillId="33" borderId="31" xfId="0" applyNumberFormat="1" applyFont="1" applyFill="1" applyBorder="1" applyAlignment="1">
      <alignment vertical="top" wrapText="1"/>
    </xf>
    <xf numFmtId="176" fontId="1" fillId="33" borderId="25" xfId="0" applyNumberFormat="1" applyFont="1" applyFill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176" fontId="1" fillId="0" borderId="14" xfId="0" applyNumberFormat="1" applyFont="1" applyBorder="1" applyAlignment="1">
      <alignment vertical="top" wrapText="1"/>
    </xf>
    <xf numFmtId="176" fontId="1" fillId="33" borderId="26" xfId="0" applyNumberFormat="1" applyFont="1" applyFill="1" applyBorder="1" applyAlignment="1">
      <alignment vertical="top" wrapText="1"/>
    </xf>
    <xf numFmtId="0" fontId="8" fillId="0" borderId="28" xfId="0" applyFont="1" applyBorder="1" applyAlignment="1">
      <alignment horizontal="center" wrapText="1"/>
    </xf>
    <xf numFmtId="2" fontId="3" fillId="33" borderId="13" xfId="0" applyNumberFormat="1" applyFont="1" applyFill="1" applyBorder="1" applyAlignment="1">
      <alignment vertical="top" wrapText="1"/>
    </xf>
    <xf numFmtId="0" fontId="8" fillId="0" borderId="19" xfId="0" applyFont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20" fillId="0" borderId="0" xfId="0" applyFont="1" applyAlignment="1">
      <alignment horizontal="left"/>
    </xf>
    <xf numFmtId="4" fontId="0" fillId="34" borderId="29" xfId="0" applyNumberFormat="1" applyFill="1" applyBorder="1" applyAlignment="1">
      <alignment horizontal="right"/>
    </xf>
    <xf numFmtId="0" fontId="1" fillId="37" borderId="29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2" fontId="0" fillId="0" borderId="14" xfId="0" applyNumberFormat="1" applyFill="1" applyBorder="1" applyAlignment="1">
      <alignment/>
    </xf>
    <xf numFmtId="0" fontId="0" fillId="37" borderId="32" xfId="0" applyFill="1" applyBorder="1" applyAlignment="1">
      <alignment/>
    </xf>
    <xf numFmtId="1" fontId="2" fillId="0" borderId="0" xfId="0" applyNumberFormat="1" applyFont="1" applyBorder="1" applyAlignment="1">
      <alignment/>
    </xf>
    <xf numFmtId="0" fontId="19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4" fontId="0" fillId="0" borderId="29" xfId="0" applyNumberFormat="1" applyFont="1" applyFill="1" applyBorder="1" applyAlignment="1">
      <alignment horizontal="center"/>
    </xf>
    <xf numFmtId="0" fontId="2" fillId="35" borderId="33" xfId="0" applyFont="1" applyFill="1" applyBorder="1" applyAlignment="1" applyProtection="1">
      <alignment/>
      <protection/>
    </xf>
    <xf numFmtId="2" fontId="0" fillId="34" borderId="34" xfId="0" applyNumberFormat="1" applyFont="1" applyFill="1" applyBorder="1" applyAlignment="1">
      <alignment/>
    </xf>
    <xf numFmtId="4" fontId="0" fillId="34" borderId="25" xfId="0" applyNumberFormat="1" applyFill="1" applyBorder="1" applyAlignment="1">
      <alignment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3" fillId="0" borderId="35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179" fontId="0" fillId="0" borderId="32" xfId="0" applyNumberFormat="1" applyFill="1" applyBorder="1" applyAlignment="1">
      <alignment horizontal="center"/>
    </xf>
    <xf numFmtId="4" fontId="2" fillId="0" borderId="37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vertical="top" wrapText="1"/>
    </xf>
    <xf numFmtId="176" fontId="1" fillId="0" borderId="21" xfId="0" applyNumberFormat="1" applyFont="1" applyFill="1" applyBorder="1" applyAlignment="1">
      <alignment vertical="top" wrapText="1"/>
    </xf>
    <xf numFmtId="2" fontId="0" fillId="37" borderId="38" xfId="0" applyNumberFormat="1" applyFill="1" applyBorder="1" applyAlignment="1">
      <alignment wrapText="1"/>
    </xf>
    <xf numFmtId="2" fontId="0" fillId="37" borderId="21" xfId="0" applyNumberFormat="1" applyFill="1" applyBorder="1" applyAlignment="1">
      <alignment wrapText="1"/>
    </xf>
    <xf numFmtId="0" fontId="0" fillId="37" borderId="31" xfId="0" applyFill="1" applyBorder="1" applyAlignment="1">
      <alignment wrapText="1"/>
    </xf>
    <xf numFmtId="2" fontId="0" fillId="35" borderId="21" xfId="0" applyNumberFormat="1" applyFill="1" applyBorder="1" applyAlignment="1">
      <alignment wrapText="1"/>
    </xf>
    <xf numFmtId="0" fontId="23" fillId="35" borderId="21" xfId="0" applyFont="1" applyFill="1" applyBorder="1" applyAlignment="1">
      <alignment horizontal="center" vertical="top" wrapText="1"/>
    </xf>
    <xf numFmtId="0" fontId="0" fillId="35" borderId="21" xfId="0" applyFill="1" applyBorder="1" applyAlignment="1">
      <alignment/>
    </xf>
    <xf numFmtId="0" fontId="0" fillId="35" borderId="31" xfId="0" applyFill="1" applyBorder="1" applyAlignment="1">
      <alignment wrapText="1"/>
    </xf>
    <xf numFmtId="0" fontId="0" fillId="0" borderId="39" xfId="0" applyBorder="1" applyAlignment="1" applyProtection="1">
      <alignment horizontal="center"/>
      <protection/>
    </xf>
    <xf numFmtId="2" fontId="0" fillId="38" borderId="39" xfId="0" applyNumberFormat="1" applyFill="1" applyBorder="1" applyAlignment="1" applyProtection="1">
      <alignment/>
      <protection locked="0"/>
    </xf>
    <xf numFmtId="2" fontId="0" fillId="34" borderId="40" xfId="0" applyNumberFormat="1" applyFill="1" applyBorder="1" applyAlignment="1">
      <alignment/>
    </xf>
    <xf numFmtId="2" fontId="0" fillId="34" borderId="41" xfId="0" applyNumberFormat="1" applyFill="1" applyBorder="1" applyAlignment="1">
      <alignment/>
    </xf>
    <xf numFmtId="0" fontId="0" fillId="0" borderId="23" xfId="0" applyBorder="1" applyAlignment="1" applyProtection="1">
      <alignment horizontal="center"/>
      <protection/>
    </xf>
    <xf numFmtId="2" fontId="0" fillId="37" borderId="42" xfId="0" applyNumberFormat="1" applyFill="1" applyBorder="1" applyAlignment="1">
      <alignment wrapText="1"/>
    </xf>
    <xf numFmtId="0" fontId="0" fillId="37" borderId="43" xfId="0" applyFill="1" applyBorder="1" applyAlignment="1">
      <alignment wrapText="1"/>
    </xf>
    <xf numFmtId="4" fontId="2" fillId="34" borderId="23" xfId="0" applyNumberFormat="1" applyFont="1" applyFill="1" applyBorder="1" applyAlignment="1">
      <alignment horizontal="right"/>
    </xf>
    <xf numFmtId="0" fontId="0" fillId="0" borderId="44" xfId="0" applyBorder="1" applyAlignment="1" applyProtection="1">
      <alignment horizontal="center"/>
      <protection/>
    </xf>
    <xf numFmtId="2" fontId="0" fillId="34" borderId="23" xfId="0" applyNumberFormat="1" applyFill="1" applyBorder="1" applyAlignment="1">
      <alignment/>
    </xf>
    <xf numFmtId="4" fontId="0" fillId="37" borderId="21" xfId="0" applyNumberFormat="1" applyFont="1" applyFill="1" applyBorder="1" applyAlignment="1">
      <alignment horizontal="right"/>
    </xf>
    <xf numFmtId="2" fontId="0" fillId="34" borderId="41" xfId="0" applyNumberFormat="1" applyFont="1" applyFill="1" applyBorder="1" applyAlignment="1">
      <alignment/>
    </xf>
    <xf numFmtId="2" fontId="0" fillId="34" borderId="41" xfId="0" applyNumberFormat="1" applyFont="1" applyFill="1" applyBorder="1" applyAlignment="1">
      <alignment/>
    </xf>
    <xf numFmtId="2" fontId="0" fillId="34" borderId="41" xfId="0" applyNumberFormat="1" applyFill="1" applyBorder="1" applyAlignment="1" applyProtection="1">
      <alignment horizontal="right"/>
      <protection/>
    </xf>
    <xf numFmtId="2" fontId="0" fillId="37" borderId="38" xfId="0" applyNumberFormat="1" applyFont="1" applyFill="1" applyBorder="1" applyAlignment="1">
      <alignment wrapText="1"/>
    </xf>
    <xf numFmtId="2" fontId="0" fillId="37" borderId="42" xfId="0" applyNumberFormat="1" applyFont="1" applyFill="1" applyBorder="1" applyAlignment="1">
      <alignment wrapText="1"/>
    </xf>
    <xf numFmtId="0" fontId="0" fillId="37" borderId="43" xfId="0" applyFont="1" applyFill="1" applyBorder="1" applyAlignment="1">
      <alignment wrapText="1"/>
    </xf>
    <xf numFmtId="0" fontId="8" fillId="0" borderId="42" xfId="0" applyFont="1" applyFill="1" applyBorder="1" applyAlignment="1">
      <alignment horizontal="center"/>
    </xf>
    <xf numFmtId="179" fontId="0" fillId="0" borderId="42" xfId="0" applyNumberFormat="1" applyFill="1" applyBorder="1" applyAlignment="1">
      <alignment horizontal="center"/>
    </xf>
    <xf numFmtId="4" fontId="2" fillId="0" borderId="42" xfId="0" applyNumberFormat="1" applyFont="1" applyFill="1" applyBorder="1" applyAlignment="1">
      <alignment/>
    </xf>
    <xf numFmtId="0" fontId="8" fillId="0" borderId="45" xfId="0" applyFont="1" applyFill="1" applyBorder="1" applyAlignment="1">
      <alignment horizontal="center"/>
    </xf>
    <xf numFmtId="179" fontId="0" fillId="0" borderId="45" xfId="0" applyNumberFormat="1" applyFill="1" applyBorder="1" applyAlignment="1">
      <alignment horizontal="center"/>
    </xf>
    <xf numFmtId="4" fontId="2" fillId="0" borderId="45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0" fillId="38" borderId="29" xfId="0" applyFont="1" applyFill="1" applyBorder="1" applyAlignment="1" applyProtection="1">
      <alignment horizontal="center"/>
      <protection locked="0"/>
    </xf>
    <xf numFmtId="178" fontId="0" fillId="0" borderId="0" xfId="0" applyNumberFormat="1" applyBorder="1" applyAlignment="1">
      <alignment/>
    </xf>
    <xf numFmtId="0" fontId="27" fillId="0" borderId="36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4" fontId="27" fillId="0" borderId="36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vertical="center"/>
    </xf>
    <xf numFmtId="10" fontId="27" fillId="0" borderId="0" xfId="0" applyNumberFormat="1" applyFont="1" applyBorder="1" applyAlignment="1">
      <alignment horizontal="center" vertical="center"/>
    </xf>
    <xf numFmtId="178" fontId="0" fillId="38" borderId="28" xfId="0" applyNumberFormat="1" applyFill="1" applyBorder="1" applyAlignment="1">
      <alignment/>
    </xf>
    <xf numFmtId="0" fontId="19" fillId="0" borderId="0" xfId="0" applyFont="1" applyAlignment="1">
      <alignment/>
    </xf>
    <xf numFmtId="0" fontId="25" fillId="0" borderId="36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4" fontId="23" fillId="0" borderId="36" xfId="0" applyNumberFormat="1" applyFont="1" applyBorder="1" applyAlignment="1">
      <alignment vertical="center"/>
    </xf>
    <xf numFmtId="4" fontId="23" fillId="0" borderId="11" xfId="0" applyNumberFormat="1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6" xfId="0" applyFont="1" applyBorder="1" applyAlignment="1">
      <alignment vertical="center" wrapText="1"/>
    </xf>
    <xf numFmtId="10" fontId="28" fillId="39" borderId="0" xfId="0" applyNumberFormat="1" applyFont="1" applyFill="1" applyBorder="1" applyAlignment="1">
      <alignment vertical="center"/>
    </xf>
    <xf numFmtId="176" fontId="23" fillId="39" borderId="11" xfId="0" applyNumberFormat="1" applyFont="1" applyFill="1" applyBorder="1" applyAlignment="1">
      <alignment vertical="center"/>
    </xf>
    <xf numFmtId="176" fontId="28" fillId="39" borderId="11" xfId="0" applyNumberFormat="1" applyFont="1" applyFill="1" applyBorder="1" applyAlignment="1">
      <alignment vertical="center"/>
    </xf>
    <xf numFmtId="10" fontId="23" fillId="0" borderId="0" xfId="0" applyNumberFormat="1" applyFont="1" applyFill="1" applyBorder="1" applyAlignment="1">
      <alignment horizontal="center" vertical="center"/>
    </xf>
    <xf numFmtId="10" fontId="0" fillId="38" borderId="29" xfId="0" applyNumberFormat="1" applyFill="1" applyBorder="1" applyAlignment="1">
      <alignment/>
    </xf>
    <xf numFmtId="176" fontId="23" fillId="0" borderId="36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10" fontId="0" fillId="38" borderId="14" xfId="0" applyNumberFormat="1" applyFill="1" applyBorder="1" applyAlignment="1">
      <alignment/>
    </xf>
    <xf numFmtId="176" fontId="23" fillId="0" borderId="12" xfId="0" applyNumberFormat="1" applyFont="1" applyFill="1" applyBorder="1" applyAlignment="1">
      <alignment vertical="center"/>
    </xf>
    <xf numFmtId="176" fontId="23" fillId="0" borderId="27" xfId="0" applyNumberFormat="1" applyFont="1" applyFill="1" applyBorder="1" applyAlignment="1">
      <alignment vertical="center"/>
    </xf>
    <xf numFmtId="0" fontId="27" fillId="0" borderId="12" xfId="0" applyFont="1" applyBorder="1" applyAlignment="1">
      <alignment vertical="center"/>
    </xf>
    <xf numFmtId="10" fontId="27" fillId="0" borderId="13" xfId="0" applyNumberFormat="1" applyFont="1" applyBorder="1" applyAlignment="1">
      <alignment vertical="center"/>
    </xf>
    <xf numFmtId="176" fontId="27" fillId="0" borderId="12" xfId="0" applyNumberFormat="1" applyFont="1" applyFill="1" applyBorder="1" applyAlignment="1">
      <alignment horizontal="right" vertical="center"/>
    </xf>
    <xf numFmtId="176" fontId="27" fillId="0" borderId="27" xfId="0" applyNumberFormat="1" applyFont="1" applyBorder="1" applyAlignment="1">
      <alignment vertical="center"/>
    </xf>
    <xf numFmtId="4" fontId="23" fillId="0" borderId="17" xfId="0" applyNumberFormat="1" applyFont="1" applyBorder="1" applyAlignment="1">
      <alignment vertical="center"/>
    </xf>
    <xf numFmtId="10" fontId="0" fillId="38" borderId="21" xfId="0" applyNumberFormat="1" applyFill="1" applyBorder="1" applyAlignment="1">
      <alignment/>
    </xf>
    <xf numFmtId="10" fontId="23" fillId="0" borderId="17" xfId="0" applyNumberFormat="1" applyFont="1" applyBorder="1" applyAlignment="1">
      <alignment vertical="center"/>
    </xf>
    <xf numFmtId="176" fontId="23" fillId="0" borderId="30" xfId="0" applyNumberFormat="1" applyFont="1" applyBorder="1" applyAlignment="1">
      <alignment vertical="center"/>
    </xf>
    <xf numFmtId="176" fontId="23" fillId="0" borderId="16" xfId="0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176" fontId="23" fillId="0" borderId="36" xfId="0" applyNumberFormat="1" applyFont="1" applyBorder="1" applyAlignment="1">
      <alignment vertical="center"/>
    </xf>
    <xf numFmtId="176" fontId="23" fillId="0" borderId="11" xfId="0" applyNumberFormat="1" applyFont="1" applyBorder="1" applyAlignment="1">
      <alignment vertical="center"/>
    </xf>
    <xf numFmtId="10" fontId="23" fillId="0" borderId="13" xfId="0" applyNumberFormat="1" applyFont="1" applyBorder="1" applyAlignment="1">
      <alignment vertical="center"/>
    </xf>
    <xf numFmtId="176" fontId="23" fillId="0" borderId="12" xfId="0" applyNumberFormat="1" applyFont="1" applyBorder="1" applyAlignment="1">
      <alignment vertical="center"/>
    </xf>
    <xf numFmtId="176" fontId="23" fillId="0" borderId="27" xfId="0" applyNumberFormat="1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10" fontId="27" fillId="0" borderId="0" xfId="0" applyNumberFormat="1" applyFont="1" applyFill="1" applyBorder="1" applyAlignment="1">
      <alignment vertical="center"/>
    </xf>
    <xf numFmtId="10" fontId="27" fillId="0" borderId="11" xfId="0" applyNumberFormat="1" applyFont="1" applyFill="1" applyBorder="1" applyAlignment="1">
      <alignment vertical="center"/>
    </xf>
    <xf numFmtId="176" fontId="27" fillId="0" borderId="36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vertical="center"/>
    </xf>
    <xf numFmtId="0" fontId="27" fillId="40" borderId="36" xfId="0" applyFont="1" applyFill="1" applyBorder="1" applyAlignment="1">
      <alignment vertical="center"/>
    </xf>
    <xf numFmtId="10" fontId="27" fillId="40" borderId="0" xfId="0" applyNumberFormat="1" applyFont="1" applyFill="1" applyBorder="1" applyAlignment="1">
      <alignment vertical="center"/>
    </xf>
    <xf numFmtId="176" fontId="27" fillId="40" borderId="0" xfId="0" applyNumberFormat="1" applyFont="1" applyFill="1" applyBorder="1" applyAlignment="1">
      <alignment vertical="center"/>
    </xf>
    <xf numFmtId="176" fontId="27" fillId="40" borderId="11" xfId="0" applyNumberFormat="1" applyFont="1" applyFill="1" applyBorder="1" applyAlignment="1">
      <alignment vertical="center"/>
    </xf>
    <xf numFmtId="176" fontId="27" fillId="0" borderId="12" xfId="0" applyNumberFormat="1" applyFont="1" applyFill="1" applyBorder="1" applyAlignment="1">
      <alignment vertical="center"/>
    </xf>
    <xf numFmtId="0" fontId="25" fillId="0" borderId="35" xfId="0" applyFont="1" applyBorder="1" applyAlignment="1">
      <alignment vertical="center"/>
    </xf>
    <xf numFmtId="4" fontId="23" fillId="0" borderId="46" xfId="0" applyNumberFormat="1" applyFont="1" applyBorder="1" applyAlignment="1">
      <alignment vertical="center"/>
    </xf>
    <xf numFmtId="4" fontId="23" fillId="0" borderId="47" xfId="0" applyNumberFormat="1" applyFont="1" applyBorder="1" applyAlignment="1">
      <alignment vertical="center"/>
    </xf>
    <xf numFmtId="176" fontId="27" fillId="0" borderId="35" xfId="0" applyNumberFormat="1" applyFont="1" applyBorder="1" applyAlignment="1">
      <alignment vertical="center"/>
    </xf>
    <xf numFmtId="176" fontId="27" fillId="0" borderId="47" xfId="0" applyNumberFormat="1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10" fontId="27" fillId="0" borderId="46" xfId="0" applyNumberFormat="1" applyFont="1" applyBorder="1" applyAlignment="1">
      <alignment vertical="center"/>
    </xf>
    <xf numFmtId="10" fontId="27" fillId="0" borderId="46" xfId="0" applyNumberFormat="1" applyFont="1" applyFill="1" applyBorder="1" applyAlignment="1">
      <alignment vertical="center"/>
    </xf>
    <xf numFmtId="176" fontId="27" fillId="0" borderId="35" xfId="0" applyNumberFormat="1" applyFont="1" applyFill="1" applyBorder="1" applyAlignment="1">
      <alignment vertical="center"/>
    </xf>
    <xf numFmtId="176" fontId="27" fillId="0" borderId="47" xfId="0" applyNumberFormat="1" applyFont="1" applyFill="1" applyBorder="1" applyAlignment="1">
      <alignment vertical="center"/>
    </xf>
    <xf numFmtId="10" fontId="27" fillId="0" borderId="0" xfId="0" applyNumberFormat="1" applyFont="1" applyBorder="1" applyAlignment="1">
      <alignment vertical="center"/>
    </xf>
    <xf numFmtId="176" fontId="27" fillId="0" borderId="36" xfId="0" applyNumberFormat="1" applyFont="1" applyBorder="1" applyAlignment="1">
      <alignment vertical="center"/>
    </xf>
    <xf numFmtId="176" fontId="27" fillId="0" borderId="11" xfId="0" applyNumberFormat="1" applyFont="1" applyBorder="1" applyAlignment="1">
      <alignment vertical="center"/>
    </xf>
    <xf numFmtId="176" fontId="27" fillId="0" borderId="46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4" fontId="30" fillId="0" borderId="0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vertical="center" wrapText="1"/>
    </xf>
    <xf numFmtId="1" fontId="32" fillId="41" borderId="48" xfId="0" applyNumberFormat="1" applyFont="1" applyFill="1" applyBorder="1" applyAlignment="1">
      <alignment horizontal="center" vertical="center" wrapText="1"/>
    </xf>
    <xf numFmtId="10" fontId="33" fillId="0" borderId="0" xfId="0" applyNumberFormat="1" applyFont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34" fillId="0" borderId="36" xfId="0" applyFont="1" applyBorder="1" applyAlignment="1">
      <alignment horizontal="center" vertical="center"/>
    </xf>
    <xf numFmtId="176" fontId="25" fillId="0" borderId="48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36" xfId="0" applyFont="1" applyBorder="1" applyAlignment="1">
      <alignment vertical="center"/>
    </xf>
    <xf numFmtId="178" fontId="0" fillId="0" borderId="13" xfId="0" applyNumberFormat="1" applyBorder="1" applyAlignment="1">
      <alignment/>
    </xf>
    <xf numFmtId="0" fontId="0" fillId="0" borderId="27" xfId="0" applyBorder="1" applyAlignment="1">
      <alignment/>
    </xf>
    <xf numFmtId="0" fontId="0" fillId="38" borderId="21" xfId="0" applyFont="1" applyFill="1" applyBorder="1" applyAlignment="1" applyProtection="1">
      <alignment horizontal="center"/>
      <protection locked="0"/>
    </xf>
    <xf numFmtId="0" fontId="0" fillId="34" borderId="29" xfId="0" applyFill="1" applyBorder="1" applyAlignment="1">
      <alignment/>
    </xf>
    <xf numFmtId="0" fontId="14" fillId="37" borderId="32" xfId="0" applyFont="1" applyFill="1" applyBorder="1" applyAlignment="1">
      <alignment horizontal="center" vertical="top" wrapText="1"/>
    </xf>
    <xf numFmtId="1" fontId="0" fillId="38" borderId="14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/>
    </xf>
    <xf numFmtId="179" fontId="0" fillId="38" borderId="32" xfId="0" applyNumberForma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79" fontId="0" fillId="0" borderId="23" xfId="0" applyNumberFormat="1" applyFill="1" applyBorder="1" applyAlignment="1">
      <alignment horizontal="center"/>
    </xf>
    <xf numFmtId="4" fontId="2" fillId="33" borderId="23" xfId="0" applyNumberFormat="1" applyFont="1" applyFill="1" applyBorder="1" applyAlignment="1">
      <alignment/>
    </xf>
    <xf numFmtId="4" fontId="2" fillId="33" borderId="49" xfId="0" applyNumberFormat="1" applyFont="1" applyFill="1" applyBorder="1" applyAlignment="1">
      <alignment/>
    </xf>
    <xf numFmtId="0" fontId="0" fillId="0" borderId="44" xfId="0" applyBorder="1" applyAlignment="1">
      <alignment/>
    </xf>
    <xf numFmtId="0" fontId="2" fillId="0" borderId="39" xfId="0" applyFont="1" applyBorder="1" applyAlignment="1">
      <alignment/>
    </xf>
    <xf numFmtId="0" fontId="2" fillId="0" borderId="23" xfId="0" applyFont="1" applyFill="1" applyBorder="1" applyAlignment="1">
      <alignment vertical="top"/>
    </xf>
    <xf numFmtId="0" fontId="2" fillId="0" borderId="23" xfId="0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vertical="top" wrapText="1"/>
    </xf>
    <xf numFmtId="4" fontId="2" fillId="42" borderId="23" xfId="0" applyNumberFormat="1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vertical="top" wrapText="1"/>
    </xf>
    <xf numFmtId="4" fontId="2" fillId="37" borderId="49" xfId="0" applyNumberFormat="1" applyFont="1" applyFill="1" applyBorder="1" applyAlignment="1">
      <alignment vertical="top" wrapText="1"/>
    </xf>
    <xf numFmtId="0" fontId="1" fillId="33" borderId="30" xfId="0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wrapText="1"/>
    </xf>
    <xf numFmtId="0" fontId="0" fillId="38" borderId="14" xfId="0" applyFont="1" applyFill="1" applyBorder="1" applyAlignment="1" applyProtection="1">
      <alignment horizontal="center"/>
      <protection locked="0"/>
    </xf>
    <xf numFmtId="1" fontId="1" fillId="33" borderId="15" xfId="0" applyNumberFormat="1" applyFont="1" applyFill="1" applyBorder="1" applyAlignment="1">
      <alignment horizontal="center" vertical="top" wrapText="1"/>
    </xf>
    <xf numFmtId="0" fontId="0" fillId="34" borderId="34" xfId="0" applyFill="1" applyBorder="1" applyAlignment="1">
      <alignment/>
    </xf>
    <xf numFmtId="0" fontId="0" fillId="34" borderId="34" xfId="0" applyFill="1" applyBorder="1" applyAlignment="1">
      <alignment wrapText="1"/>
    </xf>
    <xf numFmtId="1" fontId="0" fillId="38" borderId="45" xfId="0" applyNumberFormat="1" applyFont="1" applyFill="1" applyBorder="1" applyAlignment="1">
      <alignment horizontal="center"/>
    </xf>
    <xf numFmtId="2" fontId="0" fillId="34" borderId="45" xfId="0" applyNumberFormat="1" applyFont="1" applyFill="1" applyBorder="1" applyAlignment="1">
      <alignment/>
    </xf>
    <xf numFmtId="4" fontId="2" fillId="34" borderId="45" xfId="0" applyNumberFormat="1" applyFont="1" applyFill="1" applyBorder="1" applyAlignment="1">
      <alignment horizontal="right"/>
    </xf>
    <xf numFmtId="4" fontId="2" fillId="34" borderId="50" xfId="0" applyNumberFormat="1" applyFont="1" applyFill="1" applyBorder="1" applyAlignment="1">
      <alignment/>
    </xf>
    <xf numFmtId="0" fontId="14" fillId="37" borderId="23" xfId="0" applyFont="1" applyFill="1" applyBorder="1" applyAlignment="1">
      <alignment horizontal="center" vertical="top" wrapText="1"/>
    </xf>
    <xf numFmtId="0" fontId="0" fillId="37" borderId="23" xfId="0" applyFill="1" applyBorder="1" applyAlignment="1">
      <alignment/>
    </xf>
    <xf numFmtId="2" fontId="0" fillId="37" borderId="23" xfId="0" applyNumberFormat="1" applyFill="1" applyBorder="1" applyAlignment="1">
      <alignment wrapText="1"/>
    </xf>
    <xf numFmtId="0" fontId="0" fillId="37" borderId="24" xfId="0" applyFill="1" applyBorder="1" applyAlignment="1">
      <alignment wrapText="1"/>
    </xf>
    <xf numFmtId="0" fontId="21" fillId="0" borderId="0" xfId="0" applyFont="1" applyFill="1" applyAlignment="1">
      <alignment/>
    </xf>
    <xf numFmtId="0" fontId="0" fillId="35" borderId="51" xfId="0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35" borderId="44" xfId="0" applyFill="1" applyBorder="1" applyAlignment="1" applyProtection="1">
      <alignment horizontal="center"/>
      <protection/>
    </xf>
    <xf numFmtId="0" fontId="0" fillId="35" borderId="39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1" fontId="0" fillId="38" borderId="29" xfId="0" applyNumberFormat="1" applyFill="1" applyBorder="1" applyAlignment="1">
      <alignment horizontal="center"/>
    </xf>
    <xf numFmtId="0" fontId="0" fillId="35" borderId="37" xfId="0" applyFill="1" applyBorder="1" applyAlignment="1" applyProtection="1">
      <alignment horizontal="center"/>
      <protection/>
    </xf>
    <xf numFmtId="2" fontId="0" fillId="34" borderId="29" xfId="0" applyNumberFormat="1" applyFont="1" applyFill="1" applyBorder="1" applyAlignment="1">
      <alignment/>
    </xf>
    <xf numFmtId="1" fontId="0" fillId="38" borderId="29" xfId="0" applyNumberFormat="1" applyFont="1" applyFill="1" applyBorder="1" applyAlignment="1">
      <alignment horizontal="center"/>
    </xf>
    <xf numFmtId="2" fontId="0" fillId="34" borderId="39" xfId="0" applyNumberFormat="1" applyFont="1" applyFill="1" applyBorder="1" applyAlignment="1">
      <alignment/>
    </xf>
    <xf numFmtId="1" fontId="0" fillId="38" borderId="39" xfId="0" applyNumberFormat="1" applyFont="1" applyFill="1" applyBorder="1" applyAlignment="1">
      <alignment horizontal="center"/>
    </xf>
    <xf numFmtId="0" fontId="0" fillId="35" borderId="52" xfId="0" applyFill="1" applyBorder="1" applyAlignment="1">
      <alignment/>
    </xf>
    <xf numFmtId="0" fontId="8" fillId="0" borderId="13" xfId="0" applyFont="1" applyBorder="1" applyAlignment="1">
      <alignment/>
    </xf>
    <xf numFmtId="0" fontId="0" fillId="42" borderId="51" xfId="0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2" fillId="0" borderId="53" xfId="0" applyFont="1" applyFill="1" applyBorder="1" applyAlignment="1">
      <alignment horizontal="center"/>
    </xf>
    <xf numFmtId="0" fontId="0" fillId="38" borderId="54" xfId="0" applyFont="1" applyFill="1" applyBorder="1" applyAlignment="1" applyProtection="1">
      <alignment horizontal="center"/>
      <protection locked="0"/>
    </xf>
    <xf numFmtId="0" fontId="0" fillId="38" borderId="55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4" fontId="0" fillId="0" borderId="56" xfId="0" applyNumberForma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42" borderId="32" xfId="0" applyNumberFormat="1" applyFill="1" applyBorder="1" applyAlignment="1">
      <alignment/>
    </xf>
    <xf numFmtId="4" fontId="0" fillId="42" borderId="29" xfId="0" applyNumberFormat="1" applyFill="1" applyBorder="1" applyAlignment="1">
      <alignment/>
    </xf>
    <xf numFmtId="4" fontId="0" fillId="42" borderId="29" xfId="0" applyNumberFormat="1" applyFont="1" applyFill="1" applyBorder="1" applyAlignment="1">
      <alignment/>
    </xf>
    <xf numFmtId="4" fontId="0" fillId="37" borderId="32" xfId="0" applyNumberFormat="1" applyFill="1" applyBorder="1" applyAlignment="1">
      <alignment/>
    </xf>
    <xf numFmtId="4" fontId="0" fillId="37" borderId="57" xfId="0" applyNumberFormat="1" applyFill="1" applyBorder="1" applyAlignment="1">
      <alignment/>
    </xf>
    <xf numFmtId="4" fontId="0" fillId="37" borderId="29" xfId="0" applyNumberFormat="1" applyFont="1" applyFill="1" applyBorder="1" applyAlignment="1">
      <alignment/>
    </xf>
    <xf numFmtId="4" fontId="0" fillId="37" borderId="29" xfId="0" applyNumberFormat="1" applyFill="1" applyBorder="1" applyAlignment="1">
      <alignment/>
    </xf>
    <xf numFmtId="4" fontId="0" fillId="35" borderId="29" xfId="0" applyNumberFormat="1" applyFill="1" applyBorder="1" applyAlignment="1">
      <alignment/>
    </xf>
    <xf numFmtId="4" fontId="0" fillId="35" borderId="56" xfId="0" applyNumberFormat="1" applyFont="1" applyFill="1" applyBorder="1" applyAlignment="1">
      <alignment/>
    </xf>
    <xf numFmtId="4" fontId="0" fillId="35" borderId="56" xfId="0" applyNumberFormat="1" applyFill="1" applyBorder="1" applyAlignment="1">
      <alignment/>
    </xf>
    <xf numFmtId="0" fontId="14" fillId="37" borderId="21" xfId="0" applyFont="1" applyFill="1" applyBorder="1" applyAlignment="1">
      <alignment horizontal="center" vertical="top" wrapText="1"/>
    </xf>
    <xf numFmtId="0" fontId="0" fillId="0" borderId="58" xfId="0" applyFont="1" applyFill="1" applyBorder="1" applyAlignment="1">
      <alignment horizontal="center"/>
    </xf>
    <xf numFmtId="4" fontId="0" fillId="0" borderId="54" xfId="0" applyNumberFormat="1" applyFont="1" applyFill="1" applyBorder="1" applyAlignment="1">
      <alignment horizontal="center"/>
    </xf>
    <xf numFmtId="0" fontId="0" fillId="35" borderId="59" xfId="0" applyFill="1" applyBorder="1" applyAlignment="1">
      <alignment/>
    </xf>
    <xf numFmtId="176" fontId="0" fillId="0" borderId="51" xfId="0" applyNumberFormat="1" applyFill="1" applyBorder="1" applyAlignment="1">
      <alignment horizontal="right"/>
    </xf>
    <xf numFmtId="0" fontId="0" fillId="35" borderId="52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80" fillId="0" borderId="0" xfId="0" applyFont="1" applyAlignment="1">
      <alignment/>
    </xf>
    <xf numFmtId="0" fontId="0" fillId="35" borderId="20" xfId="0" applyFont="1" applyFill="1" applyBorder="1" applyAlignment="1">
      <alignment/>
    </xf>
    <xf numFmtId="0" fontId="0" fillId="35" borderId="56" xfId="0" applyFont="1" applyFill="1" applyBorder="1" applyAlignment="1">
      <alignment/>
    </xf>
    <xf numFmtId="0" fontId="35" fillId="0" borderId="29" xfId="0" applyFont="1" applyBorder="1" applyAlignment="1">
      <alignment vertical="center" wrapText="1"/>
    </xf>
    <xf numFmtId="0" fontId="35" fillId="0" borderId="29" xfId="0" applyFont="1" applyBorder="1" applyAlignment="1">
      <alignment vertical="center"/>
    </xf>
    <xf numFmtId="2" fontId="35" fillId="0" borderId="29" xfId="0" applyNumberFormat="1" applyFont="1" applyBorder="1" applyAlignment="1">
      <alignment vertical="center"/>
    </xf>
    <xf numFmtId="2" fontId="35" fillId="0" borderId="29" xfId="0" applyNumberFormat="1" applyFont="1" applyBorder="1" applyAlignment="1">
      <alignment horizontal="right" vertical="center" wrapText="1"/>
    </xf>
    <xf numFmtId="2" fontId="35" fillId="0" borderId="29" xfId="0" applyNumberFormat="1" applyFont="1" applyBorder="1" applyAlignment="1">
      <alignment horizontal="right" vertical="center"/>
    </xf>
    <xf numFmtId="2" fontId="35" fillId="0" borderId="14" xfId="0" applyNumberFormat="1" applyFont="1" applyBorder="1" applyAlignment="1">
      <alignment horizontal="right" vertical="center" wrapText="1"/>
    </xf>
    <xf numFmtId="0" fontId="0" fillId="34" borderId="25" xfId="0" applyFont="1" applyFill="1" applyBorder="1" applyAlignment="1">
      <alignment horizontal="center"/>
    </xf>
    <xf numFmtId="0" fontId="0" fillId="34" borderId="18" xfId="0" applyFont="1" applyFill="1" applyBorder="1" applyAlignment="1">
      <alignment wrapText="1"/>
    </xf>
    <xf numFmtId="0" fontId="1" fillId="43" borderId="29" xfId="0" applyFont="1" applyFill="1" applyBorder="1" applyAlignment="1">
      <alignment horizontal="center" vertical="top" wrapText="1"/>
    </xf>
    <xf numFmtId="0" fontId="0" fillId="35" borderId="36" xfId="0" applyFont="1" applyFill="1" applyBorder="1" applyAlignment="1">
      <alignment/>
    </xf>
    <xf numFmtId="0" fontId="35" fillId="0" borderId="29" xfId="0" applyFont="1" applyFill="1" applyBorder="1" applyAlignment="1">
      <alignment vertical="center" wrapText="1"/>
    </xf>
    <xf numFmtId="0" fontId="0" fillId="34" borderId="31" xfId="0" applyFont="1" applyFill="1" applyBorder="1" applyAlignment="1">
      <alignment horizontal="center"/>
    </xf>
    <xf numFmtId="0" fontId="0" fillId="34" borderId="34" xfId="0" applyFont="1" applyFill="1" applyBorder="1" applyAlignment="1">
      <alignment wrapText="1"/>
    </xf>
    <xf numFmtId="0" fontId="0" fillId="0" borderId="29" xfId="0" applyFont="1" applyBorder="1" applyAlignment="1">
      <alignment vertical="center" wrapText="1"/>
    </xf>
    <xf numFmtId="2" fontId="0" fillId="0" borderId="29" xfId="0" applyNumberFormat="1" applyFont="1" applyBorder="1" applyAlignment="1">
      <alignment horizontal="right" vertical="center" wrapText="1"/>
    </xf>
    <xf numFmtId="2" fontId="1" fillId="0" borderId="29" xfId="0" applyNumberFormat="1" applyFont="1" applyFill="1" applyBorder="1" applyAlignment="1">
      <alignment vertical="top" wrapText="1"/>
    </xf>
    <xf numFmtId="176" fontId="1" fillId="0" borderId="29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2" fillId="0" borderId="41" xfId="0" applyFont="1" applyFill="1" applyBorder="1" applyAlignment="1">
      <alignment horizontal="center" vertical="top" wrapText="1"/>
    </xf>
    <xf numFmtId="176" fontId="0" fillId="0" borderId="52" xfId="0" applyNumberFormat="1" applyFill="1" applyBorder="1" applyAlignment="1">
      <alignment horizontal="right"/>
    </xf>
    <xf numFmtId="0" fontId="2" fillId="0" borderId="35" xfId="0" applyFont="1" applyFill="1" applyBorder="1" applyAlignment="1">
      <alignment horizontal="center"/>
    </xf>
    <xf numFmtId="0" fontId="2" fillId="0" borderId="46" xfId="0" applyFont="1" applyFill="1" applyBorder="1" applyAlignment="1">
      <alignment/>
    </xf>
    <xf numFmtId="0" fontId="8" fillId="0" borderId="60" xfId="0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/>
    </xf>
    <xf numFmtId="0" fontId="0" fillId="42" borderId="61" xfId="0" applyFill="1" applyBorder="1" applyAlignment="1">
      <alignment/>
    </xf>
    <xf numFmtId="0" fontId="0" fillId="42" borderId="15" xfId="0" applyFill="1" applyBorder="1" applyAlignment="1">
      <alignment/>
    </xf>
    <xf numFmtId="0" fontId="81" fillId="0" borderId="0" xfId="0" applyFont="1" applyAlignment="1">
      <alignment horizontal="left"/>
    </xf>
    <xf numFmtId="0" fontId="35" fillId="0" borderId="29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0" fillId="42" borderId="52" xfId="0" applyFont="1" applyFill="1" applyBorder="1" applyAlignment="1">
      <alignment/>
    </xf>
    <xf numFmtId="0" fontId="0" fillId="34" borderId="62" xfId="0" applyFont="1" applyFill="1" applyBorder="1" applyAlignment="1">
      <alignment horizontal="left"/>
    </xf>
    <xf numFmtId="0" fontId="0" fillId="34" borderId="34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82" fillId="0" borderId="0" xfId="0" applyFont="1" applyAlignment="1">
      <alignment horizontal="left"/>
    </xf>
    <xf numFmtId="0" fontId="83" fillId="0" borderId="0" xfId="0" applyFont="1" applyAlignment="1">
      <alignment/>
    </xf>
    <xf numFmtId="0" fontId="1" fillId="44" borderId="15" xfId="0" applyFont="1" applyFill="1" applyBorder="1" applyAlignment="1">
      <alignment horizontal="center" vertical="top" wrapText="1"/>
    </xf>
    <xf numFmtId="0" fontId="2" fillId="34" borderId="25" xfId="0" applyFont="1" applyFill="1" applyBorder="1" applyAlignment="1">
      <alignment horizontal="center"/>
    </xf>
    <xf numFmtId="0" fontId="0" fillId="34" borderId="34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center"/>
    </xf>
    <xf numFmtId="0" fontId="0" fillId="34" borderId="62" xfId="0" applyFont="1" applyFill="1" applyBorder="1" applyAlignment="1">
      <alignment wrapText="1"/>
    </xf>
    <xf numFmtId="0" fontId="0" fillId="34" borderId="26" xfId="0" applyFont="1" applyFill="1" applyBorder="1" applyAlignment="1">
      <alignment horizontal="center"/>
    </xf>
    <xf numFmtId="0" fontId="0" fillId="37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13" xfId="0" applyFont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2" fontId="35" fillId="0" borderId="29" xfId="0" applyNumberFormat="1" applyFont="1" applyBorder="1" applyAlignment="1">
      <alignment vertical="center" wrapText="1"/>
    </xf>
    <xf numFmtId="0" fontId="1" fillId="44" borderId="16" xfId="0" applyFont="1" applyFill="1" applyBorder="1" applyAlignment="1">
      <alignment horizontal="center" vertical="top" wrapText="1"/>
    </xf>
    <xf numFmtId="0" fontId="1" fillId="44" borderId="11" xfId="0" applyFont="1" applyFill="1" applyBorder="1" applyAlignment="1">
      <alignment horizontal="center" vertical="top" wrapText="1"/>
    </xf>
    <xf numFmtId="1" fontId="0" fillId="0" borderId="0" xfId="0" applyNumberFormat="1" applyFont="1" applyFill="1" applyAlignment="1">
      <alignment horizontal="right"/>
    </xf>
    <xf numFmtId="0" fontId="3" fillId="0" borderId="29" xfId="0" applyFont="1" applyFill="1" applyBorder="1" applyAlignment="1">
      <alignment horizontal="center" vertical="top" wrapText="1"/>
    </xf>
    <xf numFmtId="0" fontId="0" fillId="34" borderId="57" xfId="0" applyFont="1" applyFill="1" applyBorder="1" applyAlignment="1">
      <alignment horizontal="center" wrapText="1"/>
    </xf>
    <xf numFmtId="0" fontId="81" fillId="0" borderId="0" xfId="0" applyFont="1" applyAlignment="1">
      <alignment/>
    </xf>
    <xf numFmtId="49" fontId="2" fillId="0" borderId="0" xfId="0" applyNumberFormat="1" applyFont="1" applyFill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0" borderId="47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left"/>
    </xf>
    <xf numFmtId="0" fontId="80" fillId="0" borderId="63" xfId="0" applyFont="1" applyBorder="1" applyAlignment="1">
      <alignment/>
    </xf>
    <xf numFmtId="2" fontId="0" fillId="34" borderId="54" xfId="0" applyNumberFormat="1" applyFont="1" applyFill="1" applyBorder="1" applyAlignment="1">
      <alignment/>
    </xf>
    <xf numFmtId="0" fontId="0" fillId="0" borderId="64" xfId="0" applyBorder="1" applyAlignment="1" applyProtection="1">
      <alignment horizontal="center"/>
      <protection/>
    </xf>
    <xf numFmtId="2" fontId="0" fillId="34" borderId="60" xfId="0" applyNumberFormat="1" applyFont="1" applyFill="1" applyBorder="1" applyAlignment="1">
      <alignment/>
    </xf>
    <xf numFmtId="0" fontId="0" fillId="35" borderId="51" xfId="0" applyFont="1" applyFill="1" applyBorder="1" applyAlignment="1">
      <alignment/>
    </xf>
    <xf numFmtId="0" fontId="0" fillId="35" borderId="51" xfId="0" applyFill="1" applyBorder="1" applyAlignment="1" applyProtection="1">
      <alignment/>
      <protection/>
    </xf>
    <xf numFmtId="0" fontId="2" fillId="35" borderId="61" xfId="0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center" wrapText="1"/>
    </xf>
    <xf numFmtId="0" fontId="0" fillId="34" borderId="59" xfId="0" applyFont="1" applyFill="1" applyBorder="1" applyAlignment="1">
      <alignment horizontal="left"/>
    </xf>
    <xf numFmtId="0" fontId="0" fillId="34" borderId="51" xfId="0" applyFont="1" applyFill="1" applyBorder="1" applyAlignment="1">
      <alignment horizontal="left"/>
    </xf>
    <xf numFmtId="0" fontId="0" fillId="34" borderId="61" xfId="0" applyFont="1" applyFill="1" applyBorder="1" applyAlignment="1">
      <alignment horizontal="left"/>
    </xf>
    <xf numFmtId="2" fontId="0" fillId="35" borderId="62" xfId="0" applyNumberFormat="1" applyFont="1" applyFill="1" applyBorder="1" applyAlignment="1">
      <alignment wrapText="1"/>
    </xf>
    <xf numFmtId="2" fontId="0" fillId="35" borderId="65" xfId="0" applyNumberFormat="1" applyFont="1" applyFill="1" applyBorder="1" applyAlignment="1">
      <alignment wrapText="1"/>
    </xf>
    <xf numFmtId="0" fontId="2" fillId="37" borderId="66" xfId="0" applyFont="1" applyFill="1" applyBorder="1" applyAlignment="1">
      <alignment/>
    </xf>
    <xf numFmtId="2" fontId="0" fillId="34" borderId="66" xfId="0" applyNumberFormat="1" applyFill="1" applyBorder="1" applyAlignment="1" applyProtection="1">
      <alignment horizontal="right"/>
      <protection/>
    </xf>
    <xf numFmtId="0" fontId="0" fillId="35" borderId="45" xfId="0" applyFill="1" applyBorder="1" applyAlignment="1" applyProtection="1">
      <alignment horizontal="center"/>
      <protection/>
    </xf>
    <xf numFmtId="4" fontId="2" fillId="34" borderId="45" xfId="0" applyNumberFormat="1" applyFont="1" applyFill="1" applyBorder="1" applyAlignment="1">
      <alignment/>
    </xf>
    <xf numFmtId="2" fontId="0" fillId="34" borderId="29" xfId="0" applyNumberFormat="1" applyFont="1" applyFill="1" applyBorder="1" applyAlignment="1">
      <alignment/>
    </xf>
    <xf numFmtId="4" fontId="0" fillId="34" borderId="29" xfId="0" applyNumberFormat="1" applyFont="1" applyFill="1" applyBorder="1" applyAlignment="1">
      <alignment horizontal="right"/>
    </xf>
    <xf numFmtId="4" fontId="0" fillId="34" borderId="29" xfId="0" applyNumberFormat="1" applyFont="1" applyFill="1" applyBorder="1" applyAlignment="1">
      <alignment/>
    </xf>
    <xf numFmtId="1" fontId="2" fillId="37" borderId="67" xfId="0" applyNumberFormat="1" applyFont="1" applyFill="1" applyBorder="1" applyAlignment="1">
      <alignment/>
    </xf>
    <xf numFmtId="1" fontId="2" fillId="35" borderId="59" xfId="0" applyNumberFormat="1" applyFont="1" applyFill="1" applyBorder="1" applyAlignment="1">
      <alignment/>
    </xf>
    <xf numFmtId="1" fontId="2" fillId="35" borderId="3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34" borderId="62" xfId="0" applyFill="1" applyBorder="1" applyAlignment="1">
      <alignment/>
    </xf>
    <xf numFmtId="0" fontId="0" fillId="34" borderId="18" xfId="0" applyFill="1" applyBorder="1" applyAlignment="1">
      <alignment/>
    </xf>
    <xf numFmtId="2" fontId="0" fillId="34" borderId="54" xfId="0" applyNumberFormat="1" applyFill="1" applyBorder="1" applyAlignment="1">
      <alignment/>
    </xf>
    <xf numFmtId="2" fontId="0" fillId="34" borderId="60" xfId="0" applyNumberFormat="1" applyFill="1" applyBorder="1" applyAlignment="1">
      <alignment/>
    </xf>
    <xf numFmtId="1" fontId="2" fillId="35" borderId="15" xfId="0" applyNumberFormat="1" applyFont="1" applyFill="1" applyBorder="1" applyAlignment="1">
      <alignment/>
    </xf>
    <xf numFmtId="0" fontId="35" fillId="45" borderId="29" xfId="0" applyFont="1" applyFill="1" applyBorder="1" applyAlignment="1">
      <alignment vertical="center" wrapText="1"/>
    </xf>
    <xf numFmtId="0" fontId="0" fillId="37" borderId="32" xfId="0" applyFont="1" applyFill="1" applyBorder="1" applyAlignment="1">
      <alignment/>
    </xf>
    <xf numFmtId="2" fontId="0" fillId="34" borderId="32" xfId="0" applyNumberFormat="1" applyFont="1" applyFill="1" applyBorder="1" applyAlignment="1">
      <alignment/>
    </xf>
    <xf numFmtId="1" fontId="0" fillId="38" borderId="32" xfId="0" applyNumberFormat="1" applyFont="1" applyFill="1" applyBorder="1" applyAlignment="1">
      <alignment horizontal="center"/>
    </xf>
    <xf numFmtId="2" fontId="0" fillId="34" borderId="32" xfId="0" applyNumberFormat="1" applyFont="1" applyFill="1" applyBorder="1" applyAlignment="1">
      <alignment/>
    </xf>
    <xf numFmtId="4" fontId="0" fillId="34" borderId="32" xfId="0" applyNumberFormat="1" applyFont="1" applyFill="1" applyBorder="1" applyAlignment="1">
      <alignment horizontal="right"/>
    </xf>
    <xf numFmtId="4" fontId="0" fillId="34" borderId="32" xfId="0" applyNumberFormat="1" applyFont="1" applyFill="1" applyBorder="1" applyAlignment="1">
      <alignment/>
    </xf>
    <xf numFmtId="1" fontId="2" fillId="37" borderId="41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2" fontId="0" fillId="34" borderId="39" xfId="0" applyNumberFormat="1" applyFont="1" applyFill="1" applyBorder="1" applyAlignment="1">
      <alignment/>
    </xf>
    <xf numFmtId="4" fontId="0" fillId="34" borderId="39" xfId="0" applyNumberFormat="1" applyFont="1" applyFill="1" applyBorder="1" applyAlignment="1">
      <alignment horizontal="right"/>
    </xf>
    <xf numFmtId="4" fontId="0" fillId="34" borderId="39" xfId="0" applyNumberFormat="1" applyFont="1" applyFill="1" applyBorder="1" applyAlignment="1">
      <alignment/>
    </xf>
    <xf numFmtId="0" fontId="2" fillId="37" borderId="41" xfId="0" applyFont="1" applyFill="1" applyBorder="1" applyAlignment="1">
      <alignment/>
    </xf>
    <xf numFmtId="2" fontId="0" fillId="37" borderId="41" xfId="0" applyNumberFormat="1" applyFont="1" applyFill="1" applyBorder="1" applyAlignment="1">
      <alignment wrapText="1"/>
    </xf>
    <xf numFmtId="0" fontId="0" fillId="37" borderId="23" xfId="0" applyFont="1" applyFill="1" applyBorder="1" applyAlignment="1">
      <alignment/>
    </xf>
    <xf numFmtId="2" fontId="0" fillId="37" borderId="23" xfId="0" applyNumberFormat="1" applyFont="1" applyFill="1" applyBorder="1" applyAlignment="1">
      <alignment wrapText="1"/>
    </xf>
    <xf numFmtId="0" fontId="0" fillId="37" borderId="24" xfId="0" applyFont="1" applyFill="1" applyBorder="1" applyAlignment="1">
      <alignment wrapText="1"/>
    </xf>
    <xf numFmtId="0" fontId="0" fillId="37" borderId="61" xfId="0" applyFont="1" applyFill="1" applyBorder="1" applyAlignment="1">
      <alignment/>
    </xf>
    <xf numFmtId="2" fontId="0" fillId="34" borderId="68" xfId="0" applyNumberFormat="1" applyFont="1" applyFill="1" applyBorder="1" applyAlignment="1">
      <alignment/>
    </xf>
    <xf numFmtId="1" fontId="2" fillId="37" borderId="59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35" fillId="33" borderId="35" xfId="0" applyFont="1" applyFill="1" applyBorder="1" applyAlignment="1">
      <alignment/>
    </xf>
    <xf numFmtId="176" fontId="0" fillId="33" borderId="28" xfId="0" applyNumberFormat="1" applyFont="1" applyFill="1" applyBorder="1" applyAlignment="1">
      <alignment horizontal="right"/>
    </xf>
    <xf numFmtId="176" fontId="3" fillId="33" borderId="47" xfId="0" applyNumberFormat="1" applyFont="1" applyFill="1" applyBorder="1" applyAlignment="1">
      <alignment vertical="top" wrapText="1"/>
    </xf>
    <xf numFmtId="4" fontId="0" fillId="0" borderId="29" xfId="0" applyNumberFormat="1" applyFont="1" applyFill="1" applyBorder="1" applyAlignment="1">
      <alignment/>
    </xf>
    <xf numFmtId="4" fontId="0" fillId="33" borderId="49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33" borderId="45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40" borderId="0" xfId="0" applyFill="1" applyBorder="1" applyAlignment="1">
      <alignment vertical="center"/>
    </xf>
    <xf numFmtId="0" fontId="0" fillId="40" borderId="11" xfId="0" applyFill="1" applyBorder="1" applyAlignment="1">
      <alignment vertical="center"/>
    </xf>
    <xf numFmtId="10" fontId="23" fillId="37" borderId="15" xfId="0" applyNumberFormat="1" applyFont="1" applyFill="1" applyBorder="1" applyAlignment="1">
      <alignment horizontal="left" vertical="center"/>
    </xf>
    <xf numFmtId="10" fontId="23" fillId="0" borderId="16" xfId="0" applyNumberFormat="1" applyFont="1" applyBorder="1" applyAlignment="1">
      <alignment horizontal="left" vertical="center"/>
    </xf>
    <xf numFmtId="10" fontId="23" fillId="37" borderId="19" xfId="0" applyNumberFormat="1" applyFont="1" applyFill="1" applyBorder="1" applyAlignment="1">
      <alignment horizontal="center" vertical="center"/>
    </xf>
    <xf numFmtId="10" fontId="23" fillId="0" borderId="27" xfId="0" applyNumberFormat="1" applyFont="1" applyBorder="1" applyAlignment="1">
      <alignment vertical="center"/>
    </xf>
    <xf numFmtId="196" fontId="23" fillId="37" borderId="15" xfId="0" applyNumberFormat="1" applyFont="1" applyFill="1" applyBorder="1" applyAlignment="1">
      <alignment horizontal="left" vertical="center"/>
    </xf>
    <xf numFmtId="10" fontId="0" fillId="38" borderId="32" xfId="0" applyNumberFormat="1" applyFill="1" applyBorder="1" applyAlignment="1">
      <alignment/>
    </xf>
    <xf numFmtId="10" fontId="23" fillId="0" borderId="13" xfId="0" applyNumberFormat="1" applyFont="1" applyFill="1" applyBorder="1" applyAlignment="1">
      <alignment horizontal="center" vertical="center"/>
    </xf>
    <xf numFmtId="10" fontId="0" fillId="38" borderId="39" xfId="0" applyNumberFormat="1" applyFill="1" applyBorder="1" applyAlignment="1">
      <alignment/>
    </xf>
    <xf numFmtId="0" fontId="1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7" fillId="38" borderId="28" xfId="0" applyFont="1" applyFill="1" applyBorder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0" fontId="5" fillId="0" borderId="0" xfId="49" applyAlignment="1" applyProtection="1">
      <alignment/>
      <protection hidden="1"/>
    </xf>
    <xf numFmtId="0" fontId="39" fillId="0" borderId="0" xfId="49" applyFont="1" applyAlignment="1" applyProtection="1">
      <alignment horizontal="left"/>
      <protection hidden="1"/>
    </xf>
    <xf numFmtId="4" fontId="2" fillId="46" borderId="23" xfId="0" applyNumberFormat="1" applyFont="1" applyFill="1" applyBorder="1" applyAlignment="1">
      <alignment vertical="top" wrapText="1"/>
    </xf>
    <xf numFmtId="0" fontId="9" fillId="47" borderId="28" xfId="0" applyFont="1" applyFill="1" applyBorder="1" applyAlignment="1">
      <alignment horizontal="center" vertical="center" wrapText="1"/>
    </xf>
    <xf numFmtId="176" fontId="82" fillId="0" borderId="43" xfId="0" applyNumberFormat="1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/>
    </xf>
    <xf numFmtId="4" fontId="84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0" fillId="0" borderId="65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/>
    </xf>
    <xf numFmtId="4" fontId="0" fillId="35" borderId="21" xfId="0" applyNumberForma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0" fontId="0" fillId="35" borderId="61" xfId="0" applyFill="1" applyBorder="1" applyAlignment="1">
      <alignment/>
    </xf>
    <xf numFmtId="4" fontId="0" fillId="0" borderId="55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69" xfId="0" applyNumberFormat="1" applyFill="1" applyBorder="1" applyAlignment="1">
      <alignment/>
    </xf>
    <xf numFmtId="4" fontId="0" fillId="35" borderId="69" xfId="0" applyNumberFormat="1" applyFill="1" applyBorder="1" applyAlignment="1">
      <alignment/>
    </xf>
    <xf numFmtId="4" fontId="0" fillId="0" borderId="6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176" fontId="0" fillId="0" borderId="59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59" xfId="0" applyNumberFormat="1" applyFont="1" applyFill="1" applyBorder="1" applyAlignment="1">
      <alignment horizontal="right"/>
    </xf>
    <xf numFmtId="176" fontId="0" fillId="0" borderId="51" xfId="0" applyNumberFormat="1" applyFont="1" applyFill="1" applyBorder="1" applyAlignment="1">
      <alignment horizontal="right"/>
    </xf>
    <xf numFmtId="176" fontId="0" fillId="0" borderId="61" xfId="0" applyNumberFormat="1" applyFont="1" applyFill="1" applyBorder="1" applyAlignment="1">
      <alignment horizontal="right"/>
    </xf>
    <xf numFmtId="0" fontId="2" fillId="0" borderId="67" xfId="0" applyFont="1" applyFill="1" applyBorder="1" applyAlignment="1">
      <alignment horizontal="center"/>
    </xf>
    <xf numFmtId="0" fontId="0" fillId="42" borderId="59" xfId="0" applyFont="1" applyFill="1" applyBorder="1" applyAlignment="1">
      <alignment/>
    </xf>
    <xf numFmtId="0" fontId="0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0" fillId="38" borderId="29" xfId="0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/>
    </xf>
    <xf numFmtId="0" fontId="85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>
      <alignment/>
    </xf>
    <xf numFmtId="0" fontId="85" fillId="0" borderId="0" xfId="0" applyFont="1" applyFill="1" applyAlignment="1" applyProtection="1">
      <alignment/>
      <protection/>
    </xf>
    <xf numFmtId="0" fontId="3" fillId="43" borderId="29" xfId="0" applyFont="1" applyFill="1" applyBorder="1" applyAlignment="1">
      <alignment horizontal="center" vertical="top" wrapText="1"/>
    </xf>
    <xf numFmtId="2" fontId="8" fillId="0" borderId="23" xfId="0" applyNumberFormat="1" applyFont="1" applyFill="1" applyBorder="1" applyAlignment="1">
      <alignment horizontal="center"/>
    </xf>
    <xf numFmtId="2" fontId="81" fillId="0" borderId="32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2" fillId="0" borderId="62" xfId="0" applyFont="1" applyBorder="1" applyAlignment="1">
      <alignment/>
    </xf>
    <xf numFmtId="0" fontId="9" fillId="42" borderId="19" xfId="0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0" fontId="9" fillId="33" borderId="2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34" borderId="51" xfId="0" applyFont="1" applyFill="1" applyBorder="1" applyAlignment="1">
      <alignment horizontal="left" vertical="center"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" fontId="1" fillId="33" borderId="10" xfId="0" applyNumberFormat="1" applyFont="1" applyFill="1" applyBorder="1" applyAlignment="1">
      <alignment horizontal="center" vertical="top" wrapText="1"/>
    </xf>
    <xf numFmtId="0" fontId="3" fillId="44" borderId="10" xfId="0" applyFont="1" applyFill="1" applyBorder="1" applyAlignment="1">
      <alignment horizontal="center" vertical="top" wrapText="1"/>
    </xf>
    <xf numFmtId="0" fontId="35" fillId="0" borderId="29" xfId="0" applyFont="1" applyBorder="1" applyAlignment="1">
      <alignment horizontal="center" vertical="center" wrapText="1"/>
    </xf>
    <xf numFmtId="0" fontId="35" fillId="0" borderId="21" xfId="0" applyFont="1" applyBorder="1" applyAlignment="1">
      <alignment vertical="center" wrapText="1"/>
    </xf>
    <xf numFmtId="2" fontId="35" fillId="0" borderId="21" xfId="0" applyNumberFormat="1" applyFont="1" applyBorder="1" applyAlignment="1">
      <alignment vertical="center"/>
    </xf>
    <xf numFmtId="176" fontId="1" fillId="33" borderId="21" xfId="0" applyNumberFormat="1" applyFont="1" applyFill="1" applyBorder="1" applyAlignment="1">
      <alignment vertical="top" wrapText="1"/>
    </xf>
    <xf numFmtId="0" fontId="35" fillId="0" borderId="14" xfId="0" applyFont="1" applyFill="1" applyBorder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top" wrapText="1"/>
    </xf>
    <xf numFmtId="2" fontId="35" fillId="0" borderId="14" xfId="0" applyNumberFormat="1" applyFont="1" applyBorder="1" applyAlignment="1">
      <alignment horizontal="right" vertical="center"/>
    </xf>
    <xf numFmtId="2" fontId="1" fillId="0" borderId="14" xfId="0" applyNumberFormat="1" applyFont="1" applyFill="1" applyBorder="1" applyAlignment="1">
      <alignment vertical="top" wrapText="1"/>
    </xf>
    <xf numFmtId="176" fontId="1" fillId="33" borderId="14" xfId="0" applyNumberFormat="1" applyFont="1" applyFill="1" applyBorder="1" applyAlignment="1">
      <alignment vertical="top" wrapText="1"/>
    </xf>
    <xf numFmtId="0" fontId="35" fillId="0" borderId="14" xfId="0" applyFont="1" applyBorder="1" applyAlignment="1">
      <alignment vertical="center" wrapText="1"/>
    </xf>
    <xf numFmtId="2" fontId="35" fillId="0" borderId="14" xfId="0" applyNumberFormat="1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29" xfId="0" applyFill="1" applyBorder="1" applyAlignment="1">
      <alignment/>
    </xf>
    <xf numFmtId="0" fontId="35" fillId="0" borderId="2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4" fontId="0" fillId="37" borderId="14" xfId="0" applyNumberFormat="1" applyFont="1" applyFill="1" applyBorder="1" applyAlignment="1">
      <alignment horizontal="right"/>
    </xf>
    <xf numFmtId="0" fontId="1" fillId="43" borderId="14" xfId="0" applyFont="1" applyFill="1" applyBorder="1" applyAlignment="1">
      <alignment horizontal="center" vertical="top" wrapText="1"/>
    </xf>
    <xf numFmtId="0" fontId="0" fillId="34" borderId="62" xfId="0" applyFill="1" applyBorder="1" applyAlignment="1">
      <alignment wrapText="1"/>
    </xf>
    <xf numFmtId="0" fontId="0" fillId="34" borderId="21" xfId="0" applyFill="1" applyBorder="1" applyAlignment="1">
      <alignment/>
    </xf>
    <xf numFmtId="2" fontId="35" fillId="0" borderId="21" xfId="0" applyNumberFormat="1" applyFont="1" applyBorder="1" applyAlignment="1">
      <alignment horizontal="right" vertical="center" wrapText="1"/>
    </xf>
    <xf numFmtId="0" fontId="0" fillId="34" borderId="18" xfId="0" applyFont="1" applyFill="1" applyBorder="1" applyAlignment="1">
      <alignment/>
    </xf>
    <xf numFmtId="0" fontId="1" fillId="33" borderId="36" xfId="0" applyFont="1" applyFill="1" applyBorder="1" applyAlignment="1">
      <alignment horizontal="center" vertical="top" wrapText="1"/>
    </xf>
    <xf numFmtId="2" fontId="35" fillId="0" borderId="2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2" fontId="35" fillId="0" borderId="21" xfId="0" applyNumberFormat="1" applyFont="1" applyBorder="1" applyAlignment="1">
      <alignment vertical="center" wrapText="1"/>
    </xf>
    <xf numFmtId="2" fontId="35" fillId="0" borderId="14" xfId="0" applyNumberFormat="1" applyFont="1" applyBorder="1" applyAlignment="1">
      <alignment vertical="center" wrapText="1"/>
    </xf>
    <xf numFmtId="176" fontId="1" fillId="33" borderId="70" xfId="0" applyNumberFormat="1" applyFont="1" applyFill="1" applyBorder="1" applyAlignment="1">
      <alignment vertical="top" wrapText="1"/>
    </xf>
    <xf numFmtId="176" fontId="1" fillId="33" borderId="71" xfId="0" applyNumberFormat="1" applyFont="1" applyFill="1" applyBorder="1" applyAlignment="1">
      <alignment vertical="top" wrapText="1"/>
    </xf>
    <xf numFmtId="0" fontId="0" fillId="0" borderId="21" xfId="0" applyFont="1" applyBorder="1" applyAlignment="1">
      <alignment vertical="center" wrapText="1"/>
    </xf>
    <xf numFmtId="0" fontId="0" fillId="37" borderId="21" xfId="0" applyFont="1" applyFill="1" applyBorder="1" applyAlignment="1">
      <alignment horizontal="center"/>
    </xf>
    <xf numFmtId="2" fontId="0" fillId="0" borderId="21" xfId="0" applyNumberFormat="1" applyFont="1" applyBorder="1" applyAlignment="1">
      <alignment horizontal="right" vertical="center" wrapText="1"/>
    </xf>
    <xf numFmtId="176" fontId="1" fillId="0" borderId="31" xfId="0" applyNumberFormat="1" applyFont="1" applyBorder="1" applyAlignment="1">
      <alignment vertical="top" wrapText="1"/>
    </xf>
    <xf numFmtId="176" fontId="1" fillId="0" borderId="25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center" wrapText="1"/>
    </xf>
    <xf numFmtId="0" fontId="0" fillId="37" borderId="14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right" vertical="center" wrapText="1"/>
    </xf>
    <xf numFmtId="176" fontId="1" fillId="0" borderId="26" xfId="0" applyNumberFormat="1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4" borderId="62" xfId="0" applyFill="1" applyBorder="1" applyAlignment="1">
      <alignment horizontal="left" wrapText="1"/>
    </xf>
    <xf numFmtId="0" fontId="7" fillId="0" borderId="21" xfId="0" applyFont="1" applyFill="1" applyBorder="1" applyAlignment="1">
      <alignment horizontal="left"/>
    </xf>
    <xf numFmtId="0" fontId="0" fillId="34" borderId="34" xfId="0" applyFill="1" applyBorder="1" applyAlignment="1">
      <alignment horizontal="left" wrapText="1"/>
    </xf>
    <xf numFmtId="0" fontId="0" fillId="34" borderId="18" xfId="0" applyFill="1" applyBorder="1" applyAlignment="1">
      <alignment horizontal="left" wrapText="1"/>
    </xf>
    <xf numFmtId="0" fontId="7" fillId="0" borderId="14" xfId="0" applyFont="1" applyFill="1" applyBorder="1" applyAlignment="1">
      <alignment horizontal="left"/>
    </xf>
    <xf numFmtId="0" fontId="0" fillId="34" borderId="34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vertical="top" wrapText="1"/>
    </xf>
    <xf numFmtId="176" fontId="9" fillId="0" borderId="28" xfId="0" applyNumberFormat="1" applyFont="1" applyFill="1" applyBorder="1" applyAlignment="1">
      <alignment horizontal="right"/>
    </xf>
    <xf numFmtId="176" fontId="9" fillId="0" borderId="19" xfId="0" applyNumberFormat="1" applyFont="1" applyFill="1" applyBorder="1" applyAlignment="1">
      <alignment horizontal="right"/>
    </xf>
    <xf numFmtId="4" fontId="2" fillId="33" borderId="72" xfId="0" applyNumberFormat="1" applyFont="1" applyFill="1" applyBorder="1" applyAlignment="1">
      <alignment/>
    </xf>
    <xf numFmtId="4" fontId="0" fillId="37" borderId="73" xfId="0" applyNumberFormat="1" applyFill="1" applyBorder="1" applyAlignment="1">
      <alignment/>
    </xf>
    <xf numFmtId="176" fontId="0" fillId="0" borderId="61" xfId="0" applyNumberFormat="1" applyFill="1" applyBorder="1" applyAlignment="1">
      <alignment horizontal="right"/>
    </xf>
    <xf numFmtId="4" fontId="0" fillId="37" borderId="26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 vertical="center" wrapText="1"/>
    </xf>
    <xf numFmtId="2" fontId="3" fillId="33" borderId="19" xfId="0" applyNumberFormat="1" applyFont="1" applyFill="1" applyBorder="1" applyAlignment="1">
      <alignment vertical="center" wrapText="1"/>
    </xf>
    <xf numFmtId="2" fontId="3" fillId="33" borderId="27" xfId="0" applyNumberFormat="1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176" fontId="3" fillId="33" borderId="27" xfId="0" applyNumberFormat="1" applyFont="1" applyFill="1" applyBorder="1" applyAlignment="1">
      <alignment vertical="center" wrapText="1"/>
    </xf>
    <xf numFmtId="176" fontId="1" fillId="33" borderId="27" xfId="0" applyNumberFormat="1" applyFont="1" applyFill="1" applyBorder="1" applyAlignment="1">
      <alignment vertical="center" wrapText="1"/>
    </xf>
    <xf numFmtId="0" fontId="0" fillId="34" borderId="59" xfId="0" applyFill="1" applyBorder="1" applyAlignment="1">
      <alignment horizontal="left" wrapText="1"/>
    </xf>
    <xf numFmtId="0" fontId="0" fillId="38" borderId="65" xfId="0" applyFon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>
      <alignment horizontal="center" wrapText="1"/>
    </xf>
    <xf numFmtId="0" fontId="0" fillId="34" borderId="52" xfId="0" applyFont="1" applyFill="1" applyBorder="1" applyAlignment="1">
      <alignment horizontal="left" wrapText="1"/>
    </xf>
    <xf numFmtId="0" fontId="0" fillId="34" borderId="52" xfId="0" applyFill="1" applyBorder="1" applyAlignment="1">
      <alignment horizontal="left" wrapText="1"/>
    </xf>
    <xf numFmtId="0" fontId="0" fillId="34" borderId="52" xfId="0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wrapText="1"/>
    </xf>
    <xf numFmtId="0" fontId="0" fillId="34" borderId="50" xfId="0" applyFont="1" applyFill="1" applyBorder="1" applyAlignment="1">
      <alignment horizontal="center" wrapText="1"/>
    </xf>
    <xf numFmtId="0" fontId="0" fillId="37" borderId="56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2" fontId="0" fillId="37" borderId="62" xfId="0" applyNumberFormat="1" applyFill="1" applyBorder="1" applyAlignment="1">
      <alignment wrapText="1"/>
    </xf>
    <xf numFmtId="4" fontId="0" fillId="34" borderId="25" xfId="0" applyNumberFormat="1" applyFont="1" applyFill="1" applyBorder="1" applyAlignment="1">
      <alignment/>
    </xf>
    <xf numFmtId="2" fontId="0" fillId="34" borderId="44" xfId="0" applyNumberFormat="1" applyFont="1" applyFill="1" applyBorder="1" applyAlignment="1">
      <alignment/>
    </xf>
    <xf numFmtId="4" fontId="0" fillId="34" borderId="40" xfId="0" applyNumberFormat="1" applyFont="1" applyFill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0" fillId="0" borderId="23" xfId="0" applyFill="1" applyBorder="1" applyAlignment="1" applyProtection="1">
      <alignment horizontal="center"/>
      <protection/>
    </xf>
    <xf numFmtId="2" fontId="0" fillId="34" borderId="18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0" fillId="34" borderId="26" xfId="0" applyNumberFormat="1" applyFont="1" applyFill="1" applyBorder="1" applyAlignment="1">
      <alignment/>
    </xf>
    <xf numFmtId="0" fontId="0" fillId="34" borderId="25" xfId="0" applyFont="1" applyFill="1" applyBorder="1" applyAlignment="1">
      <alignment horizontal="center" wrapText="1"/>
    </xf>
    <xf numFmtId="0" fontId="0" fillId="34" borderId="34" xfId="0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center" wrapText="1"/>
    </xf>
    <xf numFmtId="0" fontId="87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0" fontId="2" fillId="38" borderId="36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4" fontId="0" fillId="38" borderId="11" xfId="0" applyNumberForma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41" fillId="0" borderId="30" xfId="0" applyFont="1" applyBorder="1" applyAlignment="1">
      <alignment/>
    </xf>
    <xf numFmtId="0" fontId="41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0" fillId="38" borderId="11" xfId="0" applyFill="1" applyBorder="1" applyAlignment="1">
      <alignment/>
    </xf>
    <xf numFmtId="0" fontId="2" fillId="38" borderId="12" xfId="0" applyFont="1" applyFill="1" applyBorder="1" applyAlignment="1">
      <alignment/>
    </xf>
    <xf numFmtId="0" fontId="2" fillId="38" borderId="13" xfId="0" applyFont="1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27" xfId="0" applyFill="1" applyBorder="1" applyAlignment="1">
      <alignment/>
    </xf>
    <xf numFmtId="4" fontId="9" fillId="47" borderId="15" xfId="0" applyNumberFormat="1" applyFont="1" applyFill="1" applyBorder="1" applyAlignment="1">
      <alignment horizontal="center" vertical="center" wrapText="1"/>
    </xf>
    <xf numFmtId="4" fontId="9" fillId="47" borderId="1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2" fillId="37" borderId="62" xfId="0" applyNumberFormat="1" applyFont="1" applyFill="1" applyBorder="1" applyAlignment="1">
      <alignment horizontal="center" vertical="center" wrapText="1"/>
    </xf>
    <xf numFmtId="4" fontId="2" fillId="37" borderId="31" xfId="0" applyNumberFormat="1" applyFont="1" applyFill="1" applyBorder="1" applyAlignment="1">
      <alignment horizontal="center" vertical="center" wrapText="1"/>
    </xf>
    <xf numFmtId="4" fontId="2" fillId="37" borderId="18" xfId="0" applyNumberFormat="1" applyFont="1" applyFill="1" applyBorder="1" applyAlignment="1">
      <alignment horizontal="center" vertical="center" wrapText="1"/>
    </xf>
    <xf numFmtId="4" fontId="2" fillId="37" borderId="26" xfId="0" applyNumberFormat="1" applyFont="1" applyFill="1" applyBorder="1" applyAlignment="1">
      <alignment horizontal="center" vertical="center" wrapText="1"/>
    </xf>
    <xf numFmtId="4" fontId="2" fillId="42" borderId="7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6" fontId="23" fillId="0" borderId="75" xfId="0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7" fillId="40" borderId="36" xfId="0" applyFont="1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40" borderId="11" xfId="0" applyFill="1" applyBorder="1" applyAlignment="1">
      <alignment vertical="center"/>
    </xf>
    <xf numFmtId="176" fontId="23" fillId="0" borderId="77" xfId="0" applyNumberFormat="1" applyFont="1" applyBorder="1" applyAlignment="1">
      <alignment vertical="center"/>
    </xf>
    <xf numFmtId="0" fontId="0" fillId="0" borderId="78" xfId="0" applyBorder="1" applyAlignment="1">
      <alignment vertical="center"/>
    </xf>
    <xf numFmtId="0" fontId="24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23" fillId="40" borderId="36" xfId="0" applyFont="1" applyFill="1" applyBorder="1" applyAlignment="1">
      <alignment horizontal="left" vertical="center"/>
    </xf>
    <xf numFmtId="0" fontId="0" fillId="40" borderId="0" xfId="0" applyFill="1" applyBorder="1" applyAlignment="1">
      <alignment horizontal="left" vertical="center"/>
    </xf>
    <xf numFmtId="0" fontId="0" fillId="40" borderId="11" xfId="0" applyFill="1" applyBorder="1" applyAlignment="1">
      <alignment horizontal="left" vertical="center"/>
    </xf>
    <xf numFmtId="0" fontId="27" fillId="40" borderId="30" xfId="0" applyFont="1" applyFill="1" applyBorder="1" applyAlignment="1">
      <alignment vertical="center"/>
    </xf>
    <xf numFmtId="0" fontId="0" fillId="40" borderId="17" xfId="0" applyFill="1" applyBorder="1" applyAlignment="1">
      <alignment vertical="center"/>
    </xf>
    <xf numFmtId="0" fontId="0" fillId="40" borderId="16" xfId="0" applyFill="1" applyBorder="1" applyAlignment="1">
      <alignment vertical="center"/>
    </xf>
    <xf numFmtId="0" fontId="1" fillId="33" borderId="15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2" fontId="1" fillId="43" borderId="15" xfId="0" applyNumberFormat="1" applyFont="1" applyFill="1" applyBorder="1" applyAlignment="1">
      <alignment horizontal="center" vertical="top" wrapText="1"/>
    </xf>
    <xf numFmtId="2" fontId="1" fillId="43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12</xdr:row>
      <xdr:rowOff>95250</xdr:rowOff>
    </xdr:from>
    <xdr:to>
      <xdr:col>4</xdr:col>
      <xdr:colOff>533400</xdr:colOff>
      <xdr:row>12</xdr:row>
      <xdr:rowOff>95250</xdr:rowOff>
    </xdr:to>
    <xdr:sp>
      <xdr:nvSpPr>
        <xdr:cNvPr id="1" name="Line 4"/>
        <xdr:cNvSpPr>
          <a:spLocks/>
        </xdr:cNvSpPr>
      </xdr:nvSpPr>
      <xdr:spPr>
        <a:xfrm>
          <a:off x="3914775" y="2047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K_Ludwigsburg_B&#246;nisch\Hafner_Kalkulation_BG_Chemie_Heidelberg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meinde_Gingen_adF\NEUE_Fl&#228;chen_Daten_141217\Kopie%20von%20Rathaus%2012&#180;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mich zuerst"/>
      <sheetName val="Preisspiegel "/>
      <sheetName val="SVS Unterhaltsreinigung"/>
      <sheetName val="Kalkulation Unterhalt "/>
    </sheetNames>
    <sheetDataSet>
      <sheetData sheetId="3">
        <row r="72">
          <cell r="R72">
            <v>10</v>
          </cell>
        </row>
        <row r="106">
          <cell r="I106">
            <v>4</v>
          </cell>
          <cell r="N106">
            <v>7</v>
          </cell>
          <cell r="P106">
            <v>9</v>
          </cell>
        </row>
        <row r="107">
          <cell r="P107" t="str">
            <v>Stunden</v>
          </cell>
        </row>
        <row r="108">
          <cell r="R108" t="str">
            <v>€/Monat</v>
          </cell>
          <cell r="S108" t="str">
            <v>€/Jahr</v>
          </cell>
        </row>
        <row r="142">
          <cell r="I142" t="str">
            <v>m²</v>
          </cell>
          <cell r="N142" t="str">
            <v>Fläche</v>
          </cell>
          <cell r="P142" t="str">
            <v>monatlich</v>
          </cell>
        </row>
        <row r="143">
          <cell r="P143" t="str">
            <v/>
          </cell>
        </row>
        <row r="144">
          <cell r="R144" t="str">
            <v/>
          </cell>
          <cell r="S144" t="str">
            <v/>
          </cell>
        </row>
        <row r="178">
          <cell r="N178" t="str">
            <v/>
          </cell>
          <cell r="P178" t="str">
            <v/>
          </cell>
        </row>
        <row r="179">
          <cell r="P179" t="str">
            <v/>
          </cell>
        </row>
        <row r="180">
          <cell r="R180" t="str">
            <v/>
          </cell>
          <cell r="S180" t="str">
            <v/>
          </cell>
        </row>
        <row r="214">
          <cell r="N214" t="str">
            <v/>
          </cell>
          <cell r="P214" t="str">
            <v/>
          </cell>
        </row>
        <row r="215">
          <cell r="P215" t="str">
            <v/>
          </cell>
        </row>
        <row r="216">
          <cell r="R216" t="str">
            <v/>
          </cell>
          <cell r="S216" t="str">
            <v/>
          </cell>
        </row>
        <row r="250">
          <cell r="N250" t="str">
            <v/>
          </cell>
          <cell r="P250" t="str">
            <v/>
          </cell>
        </row>
        <row r="251">
          <cell r="P251" t="str">
            <v/>
          </cell>
        </row>
        <row r="252">
          <cell r="R252" t="str">
            <v/>
          </cell>
          <cell r="S252" t="str">
            <v/>
          </cell>
        </row>
        <row r="286">
          <cell r="N286" t="str">
            <v/>
          </cell>
          <cell r="P286" t="str">
            <v/>
          </cell>
        </row>
        <row r="287">
          <cell r="P287" t="str">
            <v/>
          </cell>
        </row>
        <row r="288">
          <cell r="R288" t="str">
            <v/>
          </cell>
          <cell r="S288" t="str">
            <v/>
          </cell>
        </row>
        <row r="322">
          <cell r="N322" t="str">
            <v/>
          </cell>
          <cell r="P322" t="str">
            <v/>
          </cell>
        </row>
        <row r="323">
          <cell r="P323" t="str">
            <v/>
          </cell>
        </row>
        <row r="324">
          <cell r="R324" t="str">
            <v/>
          </cell>
          <cell r="S324" t="str">
            <v/>
          </cell>
        </row>
        <row r="358">
          <cell r="N358" t="str">
            <v/>
          </cell>
          <cell r="P358" t="str">
            <v/>
          </cell>
        </row>
        <row r="359">
          <cell r="P359" t="str">
            <v/>
          </cell>
        </row>
        <row r="360">
          <cell r="R360" t="str">
            <v/>
          </cell>
          <cell r="S360" t="str">
            <v/>
          </cell>
        </row>
        <row r="394">
          <cell r="N394" t="str">
            <v/>
          </cell>
          <cell r="P394" t="str">
            <v/>
          </cell>
        </row>
        <row r="395">
          <cell r="P395" t="str">
            <v/>
          </cell>
        </row>
        <row r="396">
          <cell r="R396" t="str">
            <v/>
          </cell>
          <cell r="S396" t="str">
            <v/>
          </cell>
        </row>
        <row r="429">
          <cell r="N429" t="str">
            <v/>
          </cell>
          <cell r="P429" t="str">
            <v/>
          </cell>
        </row>
        <row r="430">
          <cell r="P430" t="str">
            <v/>
          </cell>
        </row>
        <row r="431">
          <cell r="R431" t="str">
            <v/>
          </cell>
          <cell r="S431" t="str">
            <v/>
          </cell>
        </row>
        <row r="464">
          <cell r="N464" t="str">
            <v/>
          </cell>
          <cell r="P464" t="str">
            <v/>
          </cell>
        </row>
        <row r="465">
          <cell r="P465" t="str">
            <v/>
          </cell>
        </row>
        <row r="466">
          <cell r="R466" t="str">
            <v/>
          </cell>
          <cell r="S466" t="str">
            <v/>
          </cell>
        </row>
        <row r="499">
          <cell r="N499" t="str">
            <v/>
          </cell>
          <cell r="P499" t="str">
            <v/>
          </cell>
        </row>
        <row r="500">
          <cell r="P500" t="str">
            <v/>
          </cell>
        </row>
        <row r="501">
          <cell r="R501" t="str">
            <v/>
          </cell>
          <cell r="S50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² und Häufigkeit "/>
      <sheetName val="Preisblatt Rathaus´13"/>
      <sheetName val=" m² und Häufigkeit"/>
      <sheetName val="Berechnung Details´13"/>
      <sheetName val="Preisblatt Rathaus´13 "/>
      <sheetName val="Tabelle1"/>
      <sheetName val="Tabelle3"/>
    </sheetNames>
    <sheetDataSet>
      <sheetData sheetId="3">
        <row r="30">
          <cell r="D30">
            <v>36.57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mb.boenisch@yahoo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I50" sqref="I50"/>
    </sheetView>
  </sheetViews>
  <sheetFormatPr defaultColWidth="11.421875" defaultRowHeight="12.75"/>
  <cols>
    <col min="1" max="1" width="11.421875" style="479" customWidth="1"/>
    <col min="2" max="2" width="10.421875" style="479" customWidth="1"/>
    <col min="3" max="3" width="11.421875" style="479" customWidth="1"/>
    <col min="4" max="4" width="20.00390625" style="479" customWidth="1"/>
    <col min="5" max="5" width="8.00390625" style="479" customWidth="1"/>
    <col min="6" max="6" width="6.57421875" style="479" customWidth="1"/>
    <col min="7" max="7" width="11.421875" style="480" customWidth="1"/>
    <col min="8" max="8" width="11.00390625" style="480" customWidth="1"/>
    <col min="9" max="16384" width="11.421875" style="480" customWidth="1"/>
  </cols>
  <sheetData>
    <row r="1" ht="12.75">
      <c r="A1" s="479" t="s">
        <v>470</v>
      </c>
    </row>
    <row r="2" ht="12.75">
      <c r="A2" s="481"/>
    </row>
    <row r="3" ht="12.75">
      <c r="A3" s="479" t="s">
        <v>471</v>
      </c>
    </row>
    <row r="4" ht="12.75"/>
    <row r="5" ht="12.75">
      <c r="A5" s="479" t="s">
        <v>472</v>
      </c>
    </row>
    <row r="6" ht="12.75">
      <c r="A6" s="479" t="s">
        <v>473</v>
      </c>
    </row>
    <row r="7" ht="12.75">
      <c r="A7" s="479" t="s">
        <v>474</v>
      </c>
    </row>
    <row r="8" spans="1:6" s="483" customFormat="1" ht="12.75">
      <c r="A8" s="482" t="s">
        <v>475</v>
      </c>
      <c r="B8" s="482"/>
      <c r="C8" s="482"/>
      <c r="D8" s="482"/>
      <c r="E8" s="482"/>
      <c r="F8" s="482"/>
    </row>
    <row r="9" ht="12.75">
      <c r="A9" s="479" t="s">
        <v>476</v>
      </c>
    </row>
    <row r="10" ht="12.75"/>
    <row r="11" spans="1:8" ht="12.75">
      <c r="A11" s="479" t="s">
        <v>477</v>
      </c>
      <c r="B11" s="481"/>
      <c r="C11" s="481"/>
      <c r="D11" s="481"/>
      <c r="E11" s="481"/>
      <c r="F11" s="481"/>
      <c r="G11" s="484"/>
      <c r="H11" s="484"/>
    </row>
    <row r="12" spans="2:8" ht="13.5" thickBot="1">
      <c r="B12" s="481"/>
      <c r="C12" s="481"/>
      <c r="D12" s="481"/>
      <c r="E12" s="481"/>
      <c r="F12" s="481"/>
      <c r="G12" s="484"/>
      <c r="H12" s="484"/>
    </row>
    <row r="13" spans="1:8" ht="13.5" thickBot="1">
      <c r="A13" s="481" t="s">
        <v>478</v>
      </c>
      <c r="B13" s="481"/>
      <c r="C13" s="481"/>
      <c r="D13" s="481"/>
      <c r="E13" s="481"/>
      <c r="F13" s="485"/>
      <c r="G13" s="484"/>
      <c r="H13" s="484"/>
    </row>
    <row r="14" spans="1:8" ht="12.75">
      <c r="A14" s="481" t="s">
        <v>479</v>
      </c>
      <c r="B14" s="481"/>
      <c r="C14" s="481"/>
      <c r="D14" s="481"/>
      <c r="E14" s="481"/>
      <c r="F14" s="481"/>
      <c r="G14" s="484"/>
      <c r="H14" s="484"/>
    </row>
    <row r="15" spans="1:8" ht="12.75">
      <c r="A15" s="481"/>
      <c r="B15" s="481"/>
      <c r="C15" s="481"/>
      <c r="D15" s="481"/>
      <c r="E15" s="481"/>
      <c r="F15" s="481"/>
      <c r="G15" s="484"/>
      <c r="H15" s="484"/>
    </row>
    <row r="16" spans="1:7" ht="12.75">
      <c r="A16" s="486" t="s">
        <v>480</v>
      </c>
      <c r="B16" s="486"/>
      <c r="C16" s="486"/>
      <c r="D16" s="486"/>
      <c r="E16" s="486"/>
      <c r="F16" s="486"/>
      <c r="G16" s="479"/>
    </row>
    <row r="17" spans="1:7" ht="12.75">
      <c r="A17" s="481" t="s">
        <v>481</v>
      </c>
      <c r="B17" s="481"/>
      <c r="C17" s="481"/>
      <c r="D17" s="481"/>
      <c r="E17" s="481"/>
      <c r="F17" s="481"/>
      <c r="G17" s="479"/>
    </row>
    <row r="18" spans="1:7" ht="12.75">
      <c r="A18" s="481" t="s">
        <v>482</v>
      </c>
      <c r="B18" s="481"/>
      <c r="C18" s="481"/>
      <c r="D18" s="481"/>
      <c r="E18" s="481"/>
      <c r="F18" s="481"/>
      <c r="G18" s="479"/>
    </row>
    <row r="19" spans="1:7" ht="12.75">
      <c r="A19" s="481"/>
      <c r="B19" s="481"/>
      <c r="C19" s="481"/>
      <c r="D19" s="481"/>
      <c r="E19" s="481"/>
      <c r="F19" s="481"/>
      <c r="G19" s="479"/>
    </row>
    <row r="20" ht="12.75">
      <c r="A20" s="487" t="s">
        <v>483</v>
      </c>
    </row>
    <row r="21" spans="1:3" ht="12.75">
      <c r="A21" s="481" t="s">
        <v>484</v>
      </c>
      <c r="B21" s="481"/>
      <c r="C21" s="481"/>
    </row>
    <row r="23" ht="12.75">
      <c r="A23" s="479" t="s">
        <v>485</v>
      </c>
    </row>
    <row r="24" ht="12.75">
      <c r="A24" s="479" t="s">
        <v>546</v>
      </c>
    </row>
    <row r="25" ht="12.75">
      <c r="A25" s="479" t="s">
        <v>540</v>
      </c>
    </row>
    <row r="26" ht="12.75">
      <c r="A26" s="479" t="s">
        <v>486</v>
      </c>
    </row>
    <row r="27" spans="1:4" ht="12.75">
      <c r="A27" s="479" t="s">
        <v>525</v>
      </c>
      <c r="B27" s="488"/>
      <c r="C27" s="488"/>
      <c r="D27" s="488"/>
    </row>
    <row r="28" spans="1:4" ht="12.75">
      <c r="A28" s="479" t="s">
        <v>547</v>
      </c>
      <c r="B28" s="488"/>
      <c r="C28" s="488"/>
      <c r="D28" s="488"/>
    </row>
    <row r="29" spans="1:4" ht="12.75">
      <c r="A29" s="479" t="s">
        <v>487</v>
      </c>
      <c r="B29" s="488"/>
      <c r="C29" s="488"/>
      <c r="D29" s="488"/>
    </row>
    <row r="30" spans="2:4" ht="12.75">
      <c r="B30" s="488"/>
      <c r="C30" s="488"/>
      <c r="D30" s="488"/>
    </row>
    <row r="31" ht="12.75">
      <c r="A31" s="488" t="s">
        <v>488</v>
      </c>
    </row>
    <row r="32" ht="12.75">
      <c r="A32" s="488" t="s">
        <v>526</v>
      </c>
    </row>
    <row r="33" ht="12.75">
      <c r="A33" s="488" t="s">
        <v>541</v>
      </c>
    </row>
    <row r="34" ht="12.75">
      <c r="A34" s="488" t="s">
        <v>490</v>
      </c>
    </row>
    <row r="35" ht="12.75">
      <c r="A35" s="488" t="s">
        <v>527</v>
      </c>
    </row>
    <row r="36" ht="12.75">
      <c r="A36" s="479" t="s">
        <v>489</v>
      </c>
    </row>
    <row r="37" ht="12.75">
      <c r="A37" s="479" t="s">
        <v>553</v>
      </c>
    </row>
    <row r="38" ht="12.75">
      <c r="A38" s="479" t="s">
        <v>554</v>
      </c>
    </row>
    <row r="39" ht="12.75">
      <c r="A39" s="479" t="s">
        <v>491</v>
      </c>
    </row>
    <row r="40" spans="1:5" ht="12.75">
      <c r="A40" s="480"/>
      <c r="B40" s="480"/>
      <c r="C40" s="480"/>
      <c r="D40" s="480"/>
      <c r="E40" s="480"/>
    </row>
    <row r="41" ht="12.75">
      <c r="A41" s="479" t="s">
        <v>495</v>
      </c>
    </row>
    <row r="42" ht="12.75">
      <c r="A42" s="479" t="s">
        <v>496</v>
      </c>
    </row>
    <row r="44" spans="1:4" ht="12.75">
      <c r="A44" s="481" t="s">
        <v>497</v>
      </c>
      <c r="B44" s="481"/>
      <c r="C44" s="481"/>
      <c r="D44" s="481"/>
    </row>
    <row r="45" spans="1:4" ht="12.75">
      <c r="A45" s="481" t="s">
        <v>498</v>
      </c>
      <c r="B45" s="481"/>
      <c r="C45" s="481"/>
      <c r="D45" s="481"/>
    </row>
    <row r="46" ht="12.75">
      <c r="A46" s="481" t="s">
        <v>492</v>
      </c>
    </row>
    <row r="47" ht="12.75">
      <c r="A47" s="481" t="s">
        <v>493</v>
      </c>
    </row>
    <row r="48" ht="12.75">
      <c r="A48" s="481" t="s">
        <v>494</v>
      </c>
    </row>
    <row r="50" ht="12.75">
      <c r="A50" s="479" t="s">
        <v>499</v>
      </c>
    </row>
    <row r="51" ht="12.75">
      <c r="A51" s="479" t="s">
        <v>500</v>
      </c>
    </row>
    <row r="52" ht="12.75">
      <c r="A52" s="479" t="s">
        <v>501</v>
      </c>
    </row>
    <row r="53" ht="12.75">
      <c r="A53" s="479" t="s">
        <v>502</v>
      </c>
    </row>
    <row r="55" ht="12.75">
      <c r="A55" s="481" t="s">
        <v>503</v>
      </c>
    </row>
    <row r="56" ht="12.75">
      <c r="A56" s="481" t="s">
        <v>504</v>
      </c>
    </row>
    <row r="57" spans="1:8" ht="12.75">
      <c r="A57" s="481" t="s">
        <v>505</v>
      </c>
      <c r="B57" s="481"/>
      <c r="C57" s="481"/>
      <c r="D57" s="481"/>
      <c r="E57" s="481"/>
      <c r="F57" s="481"/>
      <c r="G57" s="484"/>
      <c r="H57" s="484"/>
    </row>
    <row r="59" spans="1:8" ht="12.75">
      <c r="A59" s="481" t="s">
        <v>506</v>
      </c>
      <c r="H59" s="484"/>
    </row>
    <row r="60" ht="12.75">
      <c r="A60" s="481"/>
    </row>
    <row r="61" ht="12.75">
      <c r="A61" s="479" t="s">
        <v>507</v>
      </c>
    </row>
    <row r="62" ht="12.75">
      <c r="A62" s="481"/>
    </row>
    <row r="63" spans="1:3" ht="12.75">
      <c r="A63" s="489" t="s">
        <v>508</v>
      </c>
      <c r="B63" s="489"/>
      <c r="C63" s="489"/>
    </row>
    <row r="64" spans="1:3" ht="12.75">
      <c r="A64" s="489" t="s">
        <v>509</v>
      </c>
      <c r="B64" s="489"/>
      <c r="C64" s="489"/>
    </row>
    <row r="65" spans="1:3" ht="12.75">
      <c r="A65" s="489" t="s">
        <v>510</v>
      </c>
      <c r="B65" s="489"/>
      <c r="C65" s="489"/>
    </row>
    <row r="66" spans="1:3" ht="12.75">
      <c r="A66" s="489" t="s">
        <v>511</v>
      </c>
      <c r="B66" s="489"/>
      <c r="C66" s="489"/>
    </row>
    <row r="67" spans="1:3" ht="12.75">
      <c r="A67" s="489" t="s">
        <v>512</v>
      </c>
      <c r="B67" s="489"/>
      <c r="C67" s="489"/>
    </row>
    <row r="68" spans="1:3" ht="12.75">
      <c r="A68" s="489" t="s">
        <v>513</v>
      </c>
      <c r="B68" s="489"/>
      <c r="C68" s="489"/>
    </row>
    <row r="69" spans="1:3" ht="12.75">
      <c r="A69" s="489" t="s">
        <v>514</v>
      </c>
      <c r="B69" s="489"/>
      <c r="C69" s="489"/>
    </row>
    <row r="70" spans="1:3" ht="12.75">
      <c r="A70" s="490" t="s">
        <v>515</v>
      </c>
      <c r="B70" s="489"/>
      <c r="C70" s="489"/>
    </row>
    <row r="75" ht="12.75">
      <c r="A75" s="491"/>
    </row>
  </sheetData>
  <sheetProtection/>
  <hyperlinks>
    <hyperlink ref="A70" r:id="rId1" display="rmb.boenisch@yahoo.de"/>
  </hyperlinks>
  <printOptions/>
  <pageMargins left="0.7" right="0.7" top="0.787401575" bottom="0.787401575" header="0.3" footer="0.3"/>
  <pageSetup horizontalDpi="600" verticalDpi="600" orientation="portrait" paperSize="9" scale="80" r:id="rId5"/>
  <headerFooter>
    <oddHeader>&amp;LGemeinde Gingen a.d.F.&amp;CAusfüllanleitung&amp;REU-Ausschreibung  Gebäudereinigung</oddHeader>
  </headerFooter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SheetLayoutView="100" workbookViewId="0" topLeftCell="A1">
      <selection activeCell="O13" sqref="O13"/>
    </sheetView>
  </sheetViews>
  <sheetFormatPr defaultColWidth="11.421875" defaultRowHeight="12.75"/>
  <cols>
    <col min="1" max="1" width="64.421875" style="0" customWidth="1"/>
    <col min="2" max="2" width="15.28125" style="0" customWidth="1"/>
    <col min="3" max="3" width="27.8515625" style="0" customWidth="1"/>
    <col min="4" max="4" width="12.7109375" style="0" customWidth="1"/>
    <col min="5" max="5" width="9.8515625" style="0" customWidth="1"/>
    <col min="6" max="6" width="10.00390625" style="121" customWidth="1"/>
    <col min="7" max="7" width="10.140625" style="0" customWidth="1"/>
    <col min="8" max="8" width="10.8515625" style="4" customWidth="1"/>
    <col min="9" max="9" width="11.8515625" style="0" customWidth="1"/>
    <col min="10" max="10" width="14.28125" style="0" customWidth="1"/>
    <col min="11" max="11" width="15.28125" style="0" customWidth="1"/>
    <col min="12" max="12" width="15.00390625" style="0" hidden="1" customWidth="1"/>
    <col min="13" max="13" width="13.00390625" style="0" customWidth="1"/>
    <col min="14" max="14" width="17.00390625" style="0" customWidth="1"/>
    <col min="15" max="15" width="17.8515625" style="0" customWidth="1"/>
    <col min="16" max="16" width="16.28125" style="0" customWidth="1"/>
    <col min="17" max="17" width="18.57421875" style="0" customWidth="1"/>
  </cols>
  <sheetData>
    <row r="1" spans="1:19" ht="12.75">
      <c r="A1" s="1" t="s">
        <v>10</v>
      </c>
      <c r="B1" s="27" t="s">
        <v>148</v>
      </c>
      <c r="C1" s="1" t="s">
        <v>323</v>
      </c>
      <c r="D1" s="5"/>
      <c r="E1" s="5"/>
      <c r="F1" s="12"/>
      <c r="G1" s="4"/>
      <c r="H1"/>
      <c r="O1" s="10"/>
      <c r="P1" s="10"/>
      <c r="Q1" s="10"/>
      <c r="R1" s="10"/>
      <c r="S1" s="10"/>
    </row>
    <row r="2" spans="1:19" ht="12.75">
      <c r="A2" s="1" t="s">
        <v>34</v>
      </c>
      <c r="B2" s="27" t="s">
        <v>528</v>
      </c>
      <c r="C2" s="41"/>
      <c r="D2" s="63"/>
      <c r="E2" s="5"/>
      <c r="F2" s="12"/>
      <c r="G2" s="4"/>
      <c r="H2"/>
      <c r="O2" s="10"/>
      <c r="P2" s="10"/>
      <c r="Q2" s="10"/>
      <c r="R2" s="10"/>
      <c r="S2" s="10"/>
    </row>
    <row r="3" spans="1:19" ht="12.75">
      <c r="A3" s="1" t="s">
        <v>23</v>
      </c>
      <c r="B3" s="27" t="s">
        <v>545</v>
      </c>
      <c r="C3" s="41"/>
      <c r="D3" s="5"/>
      <c r="E3" s="5"/>
      <c r="F3" s="12"/>
      <c r="G3" s="4"/>
      <c r="H3"/>
      <c r="O3" s="10"/>
      <c r="P3" s="10"/>
      <c r="Q3" s="10"/>
      <c r="R3" s="10"/>
      <c r="S3" s="10"/>
    </row>
    <row r="4" spans="1:19" ht="17.25">
      <c r="A4" s="1" t="s">
        <v>29</v>
      </c>
      <c r="B4" s="44"/>
      <c r="C4" s="374"/>
      <c r="D4" s="5"/>
      <c r="E4" s="5"/>
      <c r="F4" s="12"/>
      <c r="G4" s="4"/>
      <c r="H4"/>
      <c r="O4" s="10"/>
      <c r="P4" s="10"/>
      <c r="Q4" s="10"/>
      <c r="R4" s="10"/>
      <c r="S4" s="10"/>
    </row>
    <row r="5" spans="1:19" ht="15" thickBot="1">
      <c r="A5" s="1" t="s">
        <v>539</v>
      </c>
      <c r="B5" s="138">
        <v>20</v>
      </c>
      <c r="C5" s="372"/>
      <c r="D5" s="28"/>
      <c r="E5" s="519"/>
      <c r="F5" s="519"/>
      <c r="G5" s="519"/>
      <c r="H5" s="519"/>
      <c r="I5" s="9"/>
      <c r="M5" s="2"/>
      <c r="O5" s="10"/>
      <c r="P5" s="10"/>
      <c r="Q5" s="10"/>
      <c r="R5" s="10"/>
      <c r="S5" s="10"/>
    </row>
    <row r="6" spans="1:19" ht="20.25">
      <c r="A6" s="684" t="s">
        <v>14</v>
      </c>
      <c r="B6" s="284" t="s">
        <v>519</v>
      </c>
      <c r="C6" s="30" t="s">
        <v>15</v>
      </c>
      <c r="D6" s="29" t="s">
        <v>28</v>
      </c>
      <c r="E6" s="31" t="s">
        <v>26</v>
      </c>
      <c r="F6" s="32" t="s">
        <v>13</v>
      </c>
      <c r="G6" s="686" t="s">
        <v>44</v>
      </c>
      <c r="H6" s="30" t="s">
        <v>2</v>
      </c>
      <c r="I6" s="684" t="s">
        <v>548</v>
      </c>
      <c r="J6" s="684" t="s">
        <v>32</v>
      </c>
      <c r="K6" s="684" t="s">
        <v>461</v>
      </c>
      <c r="L6" s="560"/>
      <c r="M6" s="684" t="s">
        <v>463</v>
      </c>
      <c r="O6" s="10"/>
      <c r="P6" s="10"/>
      <c r="Q6" s="10"/>
      <c r="R6" s="10"/>
      <c r="S6" s="10"/>
    </row>
    <row r="7" spans="1:19" ht="23.25" customHeight="1" thickBot="1">
      <c r="A7" s="685"/>
      <c r="B7" s="546" t="s">
        <v>520</v>
      </c>
      <c r="C7" s="6"/>
      <c r="D7" s="7"/>
      <c r="E7" s="7" t="s">
        <v>1</v>
      </c>
      <c r="F7" s="98"/>
      <c r="G7" s="687"/>
      <c r="H7" s="53" t="s">
        <v>3</v>
      </c>
      <c r="I7" s="685"/>
      <c r="J7" s="685"/>
      <c r="K7" s="685"/>
      <c r="L7" s="3"/>
      <c r="M7" s="685"/>
      <c r="O7" s="10"/>
      <c r="P7" s="10"/>
      <c r="Q7" s="10"/>
      <c r="R7" s="10"/>
      <c r="S7" s="10"/>
    </row>
    <row r="8" spans="1:19" s="9" customFormat="1" ht="12.75">
      <c r="A8" s="376" t="s">
        <v>35</v>
      </c>
      <c r="B8" s="106" t="s">
        <v>459</v>
      </c>
      <c r="C8" s="549" t="s">
        <v>326</v>
      </c>
      <c r="D8" s="549" t="s">
        <v>264</v>
      </c>
      <c r="E8" s="550">
        <v>9</v>
      </c>
      <c r="F8" s="106">
        <f>VLOOKUP(A8,'Matrix BZ Schwimmhalle'!$A$2:$C$7,3,1)</f>
        <v>2</v>
      </c>
      <c r="G8" s="107">
        <f>SUM(E8*(IF(F8=1,3.16,(IF(F8=2,8,(IF(F8=2.5,7.92,(IF(F8=10,40,(IF(F8=5,20,(IF(F8=0.25,0.99,(IF(F8="2 x p.a.",0.17)))))))))))))))</f>
        <v>72</v>
      </c>
      <c r="H8" s="596">
        <f>VLOOKUP(A8,'Matrix BZ Schwimmhalle'!$A$2:$C$7,2,1)</f>
        <v>0</v>
      </c>
      <c r="I8" s="147">
        <f aca="true" t="shared" si="0" ref="I8:I15">IF(H8&gt;0,SUM(G8/H8),0)</f>
        <v>0</v>
      </c>
      <c r="J8" s="551">
        <f>'StdVS Vertretung Schwimmhalle'!$C$57</f>
        <v>0</v>
      </c>
      <c r="K8" s="148">
        <f aca="true" t="shared" si="1" ref="K8:K15">SUM(I8*J8)</f>
        <v>0</v>
      </c>
      <c r="L8" s="148">
        <f aca="true" t="shared" si="2" ref="L8:L15">K8*12</f>
        <v>0</v>
      </c>
      <c r="M8" s="109">
        <f aca="true" t="shared" si="3" ref="M8:M15">IF(G8&gt;0,K8/G8,0)</f>
        <v>0</v>
      </c>
      <c r="O8" s="10"/>
      <c r="P8" s="10"/>
      <c r="Q8" s="10"/>
      <c r="R8" s="10"/>
      <c r="S8" s="10"/>
    </row>
    <row r="9" spans="1:19" s="9" customFormat="1" ht="12.75">
      <c r="A9" s="377" t="s">
        <v>35</v>
      </c>
      <c r="B9" s="65" t="s">
        <v>459</v>
      </c>
      <c r="C9" s="344" t="s">
        <v>327</v>
      </c>
      <c r="D9" s="344" t="s">
        <v>264</v>
      </c>
      <c r="E9" s="346">
        <v>6.9</v>
      </c>
      <c r="F9" s="65">
        <f>VLOOKUP(A9,'Matrix BZ Schwimmhalle'!$A$2:$C$7,3,1)</f>
        <v>2</v>
      </c>
      <c r="G9" s="104">
        <f aca="true" t="shared" si="4" ref="G9:G23">SUM(E9*(IF(F9=1,3.16,(IF(F9=2,8,(IF(F9=2.5,7.92,(IF(F9=10,40,(IF(F9=5,20,(IF(F9=0.25,0.99,(IF(F9="2 x p.a.",0.17)))))))))))))))</f>
        <v>55.2</v>
      </c>
      <c r="H9" s="352">
        <f>VLOOKUP(A9,'Matrix BZ Schwimmhalle'!$A$2:$C$7,2,1)</f>
        <v>0</v>
      </c>
      <c r="I9" s="359">
        <f>IF(H9&gt;0,SUM(G9/H9),0)</f>
        <v>0</v>
      </c>
      <c r="J9" s="66">
        <f>'StdVS Vertretung Schwimmhalle'!$C$57</f>
        <v>0</v>
      </c>
      <c r="K9" s="360">
        <f>SUM(I9*J9)</f>
        <v>0</v>
      </c>
      <c r="L9" s="360">
        <f>K9*12</f>
        <v>0</v>
      </c>
      <c r="M9" s="110">
        <f>IF(G9&gt;0,K9/G9,0)</f>
        <v>0</v>
      </c>
      <c r="O9" s="10"/>
      <c r="P9" s="10"/>
      <c r="Q9" s="10"/>
      <c r="R9" s="10"/>
      <c r="S9" s="10"/>
    </row>
    <row r="10" spans="1:19" s="9" customFormat="1" ht="12.75">
      <c r="A10" s="377" t="s">
        <v>314</v>
      </c>
      <c r="B10" s="65" t="s">
        <v>459</v>
      </c>
      <c r="C10" s="344" t="s">
        <v>40</v>
      </c>
      <c r="D10" s="344" t="s">
        <v>264</v>
      </c>
      <c r="E10" s="346">
        <v>23.52</v>
      </c>
      <c r="F10" s="65">
        <f>VLOOKUP(A10,'Matrix BZ Schwimmhalle'!$A$2:$C$7,3,1)</f>
        <v>2</v>
      </c>
      <c r="G10" s="104">
        <f t="shared" si="4"/>
        <v>188.16</v>
      </c>
      <c r="H10" s="352">
        <f>VLOOKUP(A10,'Matrix BZ Schwimmhalle'!$A$2:$C$7,2,1)</f>
        <v>0</v>
      </c>
      <c r="I10" s="359">
        <f>IF(H10&gt;0,SUM(G10/H10),0)</f>
        <v>0</v>
      </c>
      <c r="J10" s="66">
        <f>'StdVS Vertretung Schwimmhalle'!$C$57</f>
        <v>0</v>
      </c>
      <c r="K10" s="360">
        <f>SUM(I10*J10)</f>
        <v>0</v>
      </c>
      <c r="L10" s="360">
        <f>K10*12</f>
        <v>0</v>
      </c>
      <c r="M10" s="110">
        <f>IF(G10&gt;0,K10/G10,0)</f>
        <v>0</v>
      </c>
      <c r="O10" s="10"/>
      <c r="P10" s="10"/>
      <c r="Q10" s="10"/>
      <c r="R10" s="10"/>
      <c r="S10" s="10"/>
    </row>
    <row r="11" spans="1:19" ht="12.75">
      <c r="A11" s="377" t="s">
        <v>311</v>
      </c>
      <c r="B11" s="65" t="s">
        <v>459</v>
      </c>
      <c r="C11" s="344" t="s">
        <v>328</v>
      </c>
      <c r="D11" s="345" t="s">
        <v>22</v>
      </c>
      <c r="E11" s="346">
        <v>42.84</v>
      </c>
      <c r="F11" s="65" t="str">
        <f>VLOOKUP(A11,'Matrix BZ Schwimmhalle'!$A$2:$C$7,3,1)</f>
        <v>GR</v>
      </c>
      <c r="G11" s="104">
        <f t="shared" si="4"/>
        <v>0</v>
      </c>
      <c r="H11" s="352">
        <v>0</v>
      </c>
      <c r="I11" s="104">
        <f t="shared" si="0"/>
        <v>0</v>
      </c>
      <c r="J11" s="66">
        <f>'StdVS Vertretung Schwimmhalle'!$C$57</f>
        <v>0</v>
      </c>
      <c r="K11" s="105">
        <f t="shared" si="1"/>
        <v>0</v>
      </c>
      <c r="L11" s="105">
        <f t="shared" si="2"/>
        <v>0</v>
      </c>
      <c r="M11" s="110">
        <f t="shared" si="3"/>
        <v>0</v>
      </c>
      <c r="O11" s="10"/>
      <c r="P11" s="10"/>
      <c r="Q11" s="10"/>
      <c r="R11" s="10"/>
      <c r="S11" s="10"/>
    </row>
    <row r="12" spans="1:19" ht="12.75">
      <c r="A12" s="383" t="s">
        <v>318</v>
      </c>
      <c r="B12" s="65" t="s">
        <v>459</v>
      </c>
      <c r="C12" s="344" t="s">
        <v>329</v>
      </c>
      <c r="D12" s="345" t="s">
        <v>22</v>
      </c>
      <c r="E12" s="346">
        <v>20.4</v>
      </c>
      <c r="F12" s="65" t="str">
        <f>VLOOKUP(A12,'Matrix BZ Schwimmhalle'!$A$2:$C$7,3,1)</f>
        <v>GR</v>
      </c>
      <c r="G12" s="104">
        <f t="shared" si="4"/>
        <v>0</v>
      </c>
      <c r="H12" s="352">
        <v>0</v>
      </c>
      <c r="I12" s="104">
        <f t="shared" si="0"/>
        <v>0</v>
      </c>
      <c r="J12" s="66">
        <f>'StdVS Vertretung Schwimmhalle'!$C$57</f>
        <v>0</v>
      </c>
      <c r="K12" s="105">
        <f t="shared" si="1"/>
        <v>0</v>
      </c>
      <c r="L12" s="105">
        <f t="shared" si="2"/>
        <v>0</v>
      </c>
      <c r="M12" s="110">
        <f t="shared" si="3"/>
        <v>0</v>
      </c>
      <c r="O12" s="10"/>
      <c r="P12" s="10"/>
      <c r="Q12" s="10"/>
      <c r="R12" s="10"/>
      <c r="S12" s="10"/>
    </row>
    <row r="13" spans="1:19" ht="12.75">
      <c r="A13" s="383" t="s">
        <v>318</v>
      </c>
      <c r="B13" s="65" t="s">
        <v>459</v>
      </c>
      <c r="C13" s="344" t="s">
        <v>330</v>
      </c>
      <c r="D13" s="345" t="s">
        <v>22</v>
      </c>
      <c r="E13" s="346">
        <v>20.4</v>
      </c>
      <c r="F13" s="65" t="str">
        <f>VLOOKUP(A13,'Matrix BZ Schwimmhalle'!$A$2:$C$7,3,1)</f>
        <v>GR</v>
      </c>
      <c r="G13" s="104">
        <f t="shared" si="4"/>
        <v>0</v>
      </c>
      <c r="H13" s="352">
        <v>0</v>
      </c>
      <c r="I13" s="104">
        <f t="shared" si="0"/>
        <v>0</v>
      </c>
      <c r="J13" s="66">
        <f>'StdVS Vertretung Schwimmhalle'!$C$57</f>
        <v>0</v>
      </c>
      <c r="K13" s="105">
        <f t="shared" si="1"/>
        <v>0</v>
      </c>
      <c r="L13" s="105">
        <f t="shared" si="2"/>
        <v>0</v>
      </c>
      <c r="M13" s="110">
        <f t="shared" si="3"/>
        <v>0</v>
      </c>
      <c r="O13" s="10"/>
      <c r="P13" s="10"/>
      <c r="Q13" s="10"/>
      <c r="R13" s="10"/>
      <c r="S13" s="10"/>
    </row>
    <row r="14" spans="1:19" ht="15" customHeight="1">
      <c r="A14" s="383" t="s">
        <v>318</v>
      </c>
      <c r="B14" s="65" t="s">
        <v>459</v>
      </c>
      <c r="C14" s="344" t="s">
        <v>331</v>
      </c>
      <c r="D14" s="345" t="s">
        <v>341</v>
      </c>
      <c r="E14" s="346">
        <v>41.76</v>
      </c>
      <c r="F14" s="65" t="str">
        <f>VLOOKUP(A14,'Matrix BZ Schwimmhalle'!$A$2:$C$7,3,1)</f>
        <v>GR</v>
      </c>
      <c r="G14" s="104">
        <f t="shared" si="4"/>
        <v>0</v>
      </c>
      <c r="H14" s="352">
        <v>0</v>
      </c>
      <c r="I14" s="104">
        <f t="shared" si="0"/>
        <v>0</v>
      </c>
      <c r="J14" s="66">
        <f>'StdVS Vertretung Schwimmhalle'!$C$57</f>
        <v>0</v>
      </c>
      <c r="K14" s="105">
        <f t="shared" si="1"/>
        <v>0</v>
      </c>
      <c r="L14" s="105">
        <f t="shared" si="2"/>
        <v>0</v>
      </c>
      <c r="M14" s="110">
        <f t="shared" si="3"/>
        <v>0</v>
      </c>
      <c r="O14" s="10"/>
      <c r="P14" s="10"/>
      <c r="Q14" s="10"/>
      <c r="R14" s="10"/>
      <c r="S14" s="10"/>
    </row>
    <row r="15" spans="1:19" ht="12.75">
      <c r="A15" s="383" t="s">
        <v>318</v>
      </c>
      <c r="B15" s="65" t="s">
        <v>459</v>
      </c>
      <c r="C15" s="344" t="s">
        <v>332</v>
      </c>
      <c r="D15" s="345" t="s">
        <v>22</v>
      </c>
      <c r="E15" s="346">
        <v>13.5</v>
      </c>
      <c r="F15" s="65" t="str">
        <f>VLOOKUP(A15,'Matrix BZ Schwimmhalle'!$A$2:$C$7,3,1)</f>
        <v>GR</v>
      </c>
      <c r="G15" s="104">
        <f t="shared" si="4"/>
        <v>0</v>
      </c>
      <c r="H15" s="352">
        <v>0</v>
      </c>
      <c r="I15" s="104">
        <f t="shared" si="0"/>
        <v>0</v>
      </c>
      <c r="J15" s="66">
        <f>'StdVS Vertretung Schwimmhalle'!$C$57</f>
        <v>0</v>
      </c>
      <c r="K15" s="105">
        <f t="shared" si="1"/>
        <v>0</v>
      </c>
      <c r="L15" s="105">
        <f t="shared" si="2"/>
        <v>0</v>
      </c>
      <c r="M15" s="110">
        <f t="shared" si="3"/>
        <v>0</v>
      </c>
      <c r="O15" s="10"/>
      <c r="P15" s="10"/>
      <c r="Q15" s="10"/>
      <c r="R15" s="10"/>
      <c r="S15" s="10"/>
    </row>
    <row r="16" spans="1:19" ht="12.75">
      <c r="A16" s="383" t="s">
        <v>36</v>
      </c>
      <c r="B16" s="65" t="s">
        <v>459</v>
      </c>
      <c r="C16" s="344" t="s">
        <v>333</v>
      </c>
      <c r="D16" s="345" t="s">
        <v>22</v>
      </c>
      <c r="E16" s="346">
        <v>8.4</v>
      </c>
      <c r="F16" s="65">
        <f>VLOOKUP(A16,'Matrix BZ Schwimmhalle'!$A$2:$C$7,3,1)</f>
        <v>10</v>
      </c>
      <c r="G16" s="104">
        <f t="shared" si="4"/>
        <v>336</v>
      </c>
      <c r="H16" s="352">
        <f>VLOOKUP(A16,'Matrix BZ Schwimmhalle'!$A$2:$C$7,2,1)</f>
        <v>0</v>
      </c>
      <c r="I16" s="104">
        <f aca="true" t="shared" si="5" ref="I16:I23">IF(H16&gt;0,SUM(G16/H16),0)</f>
        <v>0</v>
      </c>
      <c r="J16" s="66">
        <f>'StdVS Vertretung Schwimmhalle'!$C$57</f>
        <v>0</v>
      </c>
      <c r="K16" s="105">
        <f aca="true" t="shared" si="6" ref="K16:K23">SUM(I16*J16)</f>
        <v>0</v>
      </c>
      <c r="L16" s="105">
        <f aca="true" t="shared" si="7" ref="L16:L24">K16*12</f>
        <v>0</v>
      </c>
      <c r="M16" s="110">
        <f aca="true" t="shared" si="8" ref="M16:M23">IF(G16&gt;0,K16/G16,0)</f>
        <v>0</v>
      </c>
      <c r="O16" s="10"/>
      <c r="P16" s="10"/>
      <c r="Q16" s="10"/>
      <c r="R16" s="10"/>
      <c r="S16" s="10"/>
    </row>
    <row r="17" spans="1:19" ht="22.5">
      <c r="A17" s="383" t="s">
        <v>36</v>
      </c>
      <c r="B17" s="65" t="s">
        <v>459</v>
      </c>
      <c r="C17" s="344" t="s">
        <v>334</v>
      </c>
      <c r="D17" s="345" t="s">
        <v>22</v>
      </c>
      <c r="E17" s="346">
        <v>7.56</v>
      </c>
      <c r="F17" s="65">
        <f>VLOOKUP(A17,'Matrix BZ Schwimmhalle'!$A$2:$C$7,3,1)</f>
        <v>10</v>
      </c>
      <c r="G17" s="104">
        <f t="shared" si="4"/>
        <v>302.4</v>
      </c>
      <c r="H17" s="352">
        <f>VLOOKUP(A17,'Matrix BZ Schwimmhalle'!$A$2:$C$7,2,1)</f>
        <v>0</v>
      </c>
      <c r="I17" s="104">
        <f t="shared" si="5"/>
        <v>0</v>
      </c>
      <c r="J17" s="66">
        <f>'StdVS Vertretung Schwimmhalle'!$C$57</f>
        <v>0</v>
      </c>
      <c r="K17" s="105">
        <f t="shared" si="6"/>
        <v>0</v>
      </c>
      <c r="L17" s="105">
        <f t="shared" si="7"/>
        <v>0</v>
      </c>
      <c r="M17" s="110">
        <f t="shared" si="8"/>
        <v>0</v>
      </c>
      <c r="O17" s="10"/>
      <c r="P17" s="10"/>
      <c r="Q17" s="10"/>
      <c r="R17" s="10"/>
      <c r="S17" s="10"/>
    </row>
    <row r="18" spans="1:19" ht="12.75">
      <c r="A18" s="383" t="s">
        <v>36</v>
      </c>
      <c r="B18" s="65" t="s">
        <v>459</v>
      </c>
      <c r="C18" s="344" t="s">
        <v>335</v>
      </c>
      <c r="D18" s="344" t="s">
        <v>22</v>
      </c>
      <c r="E18" s="346">
        <v>17.64</v>
      </c>
      <c r="F18" s="65">
        <f>VLOOKUP(A18,'Matrix BZ Schwimmhalle'!$A$2:$C$7,3,1)</f>
        <v>10</v>
      </c>
      <c r="G18" s="104">
        <f t="shared" si="4"/>
        <v>705.6</v>
      </c>
      <c r="H18" s="352">
        <f>VLOOKUP(A18,'Matrix BZ Schwimmhalle'!$A$2:$C$7,2,1)</f>
        <v>0</v>
      </c>
      <c r="I18" s="104">
        <f t="shared" si="5"/>
        <v>0</v>
      </c>
      <c r="J18" s="66">
        <f>'StdVS Vertretung Schwimmhalle'!$C$57</f>
        <v>0</v>
      </c>
      <c r="K18" s="105">
        <f t="shared" si="6"/>
        <v>0</v>
      </c>
      <c r="L18" s="105">
        <f t="shared" si="7"/>
        <v>0</v>
      </c>
      <c r="M18" s="110">
        <f t="shared" si="8"/>
        <v>0</v>
      </c>
      <c r="O18" s="10"/>
      <c r="P18" s="10"/>
      <c r="Q18" s="10"/>
      <c r="R18" s="10"/>
      <c r="S18" s="10"/>
    </row>
    <row r="19" spans="1:19" ht="12.75">
      <c r="A19" s="383" t="s">
        <v>36</v>
      </c>
      <c r="B19" s="65" t="s">
        <v>459</v>
      </c>
      <c r="C19" s="344" t="s">
        <v>336</v>
      </c>
      <c r="D19" s="344" t="s">
        <v>22</v>
      </c>
      <c r="E19" s="346">
        <v>11.2</v>
      </c>
      <c r="F19" s="65">
        <f>VLOOKUP(A19,'Matrix BZ Schwimmhalle'!$A$2:$C$7,3,1)</f>
        <v>10</v>
      </c>
      <c r="G19" s="104">
        <f t="shared" si="4"/>
        <v>448</v>
      </c>
      <c r="H19" s="352">
        <f>VLOOKUP(A19,'Matrix BZ Schwimmhalle'!$A$2:$C$7,2,1)</f>
        <v>0</v>
      </c>
      <c r="I19" s="104">
        <f t="shared" si="5"/>
        <v>0</v>
      </c>
      <c r="J19" s="66">
        <f>'StdVS Vertretung Schwimmhalle'!$C$57</f>
        <v>0</v>
      </c>
      <c r="K19" s="105">
        <f t="shared" si="6"/>
        <v>0</v>
      </c>
      <c r="L19" s="105">
        <f t="shared" si="7"/>
        <v>0</v>
      </c>
      <c r="M19" s="110">
        <f t="shared" si="8"/>
        <v>0</v>
      </c>
      <c r="O19" s="10"/>
      <c r="P19" s="10"/>
      <c r="Q19" s="10"/>
      <c r="R19" s="10"/>
      <c r="S19" s="10"/>
    </row>
    <row r="20" spans="1:19" ht="12.75">
      <c r="A20" s="383" t="s">
        <v>36</v>
      </c>
      <c r="B20" s="65" t="s">
        <v>459</v>
      </c>
      <c r="C20" s="344" t="s">
        <v>337</v>
      </c>
      <c r="D20" s="344" t="s">
        <v>22</v>
      </c>
      <c r="E20" s="346">
        <v>13.5</v>
      </c>
      <c r="F20" s="65">
        <f>VLOOKUP(A20,'Matrix BZ Schwimmhalle'!$A$2:$C$7,3,1)</f>
        <v>10</v>
      </c>
      <c r="G20" s="104">
        <f t="shared" si="4"/>
        <v>540</v>
      </c>
      <c r="H20" s="352">
        <f>VLOOKUP(A20,'Matrix BZ Schwimmhalle'!$A$2:$C$7,2,1)</f>
        <v>0</v>
      </c>
      <c r="I20" s="104">
        <f t="shared" si="5"/>
        <v>0</v>
      </c>
      <c r="J20" s="66">
        <f>'StdVS Vertretung Schwimmhalle'!$C$57</f>
        <v>0</v>
      </c>
      <c r="K20" s="105">
        <f t="shared" si="6"/>
        <v>0</v>
      </c>
      <c r="L20" s="105">
        <f t="shared" si="7"/>
        <v>0</v>
      </c>
      <c r="M20" s="110">
        <f t="shared" si="8"/>
        <v>0</v>
      </c>
      <c r="O20" s="10"/>
      <c r="P20" s="10"/>
      <c r="Q20" s="10"/>
      <c r="R20" s="10"/>
      <c r="S20" s="10"/>
    </row>
    <row r="21" spans="1:19" ht="12.75">
      <c r="A21" s="383" t="s">
        <v>36</v>
      </c>
      <c r="B21" s="65" t="s">
        <v>459</v>
      </c>
      <c r="C21" s="345" t="s">
        <v>338</v>
      </c>
      <c r="D21" s="344" t="s">
        <v>22</v>
      </c>
      <c r="E21" s="346">
        <v>18.2</v>
      </c>
      <c r="F21" s="65">
        <f>VLOOKUP(A21,'Matrix BZ Schwimmhalle'!$A$2:$C$7,3,1)</f>
        <v>10</v>
      </c>
      <c r="G21" s="104">
        <f t="shared" si="4"/>
        <v>728</v>
      </c>
      <c r="H21" s="352">
        <f>VLOOKUP(A21,'Matrix BZ Schwimmhalle'!$A$2:$C$7,2,1)</f>
        <v>0</v>
      </c>
      <c r="I21" s="104">
        <f t="shared" si="5"/>
        <v>0</v>
      </c>
      <c r="J21" s="66">
        <f>'StdVS Vertretung Schwimmhalle'!$C$57</f>
        <v>0</v>
      </c>
      <c r="K21" s="105">
        <f t="shared" si="6"/>
        <v>0</v>
      </c>
      <c r="L21" s="105">
        <f t="shared" si="7"/>
        <v>0</v>
      </c>
      <c r="M21" s="110">
        <f t="shared" si="8"/>
        <v>0</v>
      </c>
      <c r="O21" s="10"/>
      <c r="P21" s="10"/>
      <c r="Q21" s="10"/>
      <c r="R21" s="10"/>
      <c r="S21" s="10"/>
    </row>
    <row r="22" spans="1:19" ht="12.75">
      <c r="A22" s="383" t="s">
        <v>36</v>
      </c>
      <c r="B22" s="65" t="s">
        <v>459</v>
      </c>
      <c r="C22" s="345" t="s">
        <v>339</v>
      </c>
      <c r="D22" s="344" t="s">
        <v>22</v>
      </c>
      <c r="E22" s="346">
        <v>18.2</v>
      </c>
      <c r="F22" s="65">
        <f>VLOOKUP(A22,'Matrix BZ Schwimmhalle'!$A$2:$C$7,3,1)</f>
        <v>10</v>
      </c>
      <c r="G22" s="104">
        <f t="shared" si="4"/>
        <v>728</v>
      </c>
      <c r="H22" s="352">
        <f>VLOOKUP(A22,'Matrix BZ Schwimmhalle'!$A$2:$C$7,2,1)</f>
        <v>0</v>
      </c>
      <c r="I22" s="104">
        <f t="shared" si="5"/>
        <v>0</v>
      </c>
      <c r="J22" s="66">
        <f>'StdVS Vertretung Schwimmhalle'!$C$57</f>
        <v>0</v>
      </c>
      <c r="K22" s="105">
        <f t="shared" si="6"/>
        <v>0</v>
      </c>
      <c r="L22" s="105">
        <f t="shared" si="7"/>
        <v>0</v>
      </c>
      <c r="M22" s="110">
        <f t="shared" si="8"/>
        <v>0</v>
      </c>
      <c r="O22" s="10"/>
      <c r="P22" s="10"/>
      <c r="Q22" s="10"/>
      <c r="R22" s="10"/>
      <c r="S22" s="10"/>
    </row>
    <row r="23" spans="1:19" ht="13.5" thickBot="1">
      <c r="A23" s="384" t="s">
        <v>319</v>
      </c>
      <c r="B23" s="89" t="s">
        <v>459</v>
      </c>
      <c r="C23" s="552" t="s">
        <v>340</v>
      </c>
      <c r="D23" s="558" t="s">
        <v>22</v>
      </c>
      <c r="E23" s="559">
        <v>118.6</v>
      </c>
      <c r="F23" s="89">
        <f>VLOOKUP(A23,'Matrix BZ Schwimmhalle'!$A$2:$C$7,3,1)</f>
        <v>5</v>
      </c>
      <c r="G23" s="111">
        <f t="shared" si="4"/>
        <v>2372</v>
      </c>
      <c r="H23" s="565">
        <f>VLOOKUP(A23,'Matrix BZ Schwimmhalle'!$A$2:$C$7,2,1)</f>
        <v>0</v>
      </c>
      <c r="I23" s="111">
        <f t="shared" si="5"/>
        <v>0</v>
      </c>
      <c r="J23" s="557">
        <f>'StdVS Vertretung Schwimmhalle'!$C$57</f>
        <v>0</v>
      </c>
      <c r="K23" s="112">
        <f t="shared" si="6"/>
        <v>0</v>
      </c>
      <c r="L23" s="112">
        <f t="shared" si="7"/>
        <v>0</v>
      </c>
      <c r="M23" s="113">
        <f t="shared" si="8"/>
        <v>0</v>
      </c>
      <c r="O23" s="10"/>
      <c r="P23" s="10"/>
      <c r="Q23" s="10"/>
      <c r="R23" s="10"/>
      <c r="S23" s="10"/>
    </row>
    <row r="24" spans="1:19" ht="13.5" thickBot="1">
      <c r="A24" s="99" t="s">
        <v>48</v>
      </c>
      <c r="B24" s="37"/>
      <c r="C24" s="35"/>
      <c r="D24" s="79"/>
      <c r="E24" s="36">
        <f>SUM(E8:E23)</f>
        <v>391.62</v>
      </c>
      <c r="F24" s="119"/>
      <c r="G24" s="115">
        <f>SUM(G8:G23)</f>
        <v>6475.360000000001</v>
      </c>
      <c r="H24" s="102" t="e">
        <f>G24/I24</f>
        <v>#DIV/0!</v>
      </c>
      <c r="I24" s="101">
        <f>SUM(I8:I23)</f>
        <v>0</v>
      </c>
      <c r="J24" s="67" t="s">
        <v>8</v>
      </c>
      <c r="K24" s="68">
        <f>SUM(K8:K23)</f>
        <v>0</v>
      </c>
      <c r="L24" s="68">
        <f t="shared" si="7"/>
        <v>0</v>
      </c>
      <c r="M24" s="103">
        <f>K24/G24</f>
        <v>0</v>
      </c>
      <c r="O24" s="10"/>
      <c r="P24" s="10"/>
      <c r="Q24" s="10"/>
      <c r="R24" s="10"/>
      <c r="S24" s="10"/>
    </row>
    <row r="25" spans="2:19" ht="27" customHeight="1" thickBot="1">
      <c r="B25" s="8"/>
      <c r="D25" s="4"/>
      <c r="E25" s="80"/>
      <c r="F25" s="120"/>
      <c r="G25" s="4"/>
      <c r="H25" s="116" t="s">
        <v>58</v>
      </c>
      <c r="J25" s="67" t="s">
        <v>7</v>
      </c>
      <c r="K25" s="68">
        <f>SUM(K24*0.19)</f>
        <v>0</v>
      </c>
      <c r="L25" s="68">
        <f>SUM(L24*0.19)</f>
        <v>0</v>
      </c>
      <c r="O25" s="10"/>
      <c r="P25" s="10"/>
      <c r="Q25" s="10"/>
      <c r="R25" s="10"/>
      <c r="S25" s="10"/>
    </row>
    <row r="26" spans="1:15" ht="15.75" customHeight="1" thickBot="1">
      <c r="A26" s="93"/>
      <c r="B26" s="540"/>
      <c r="C26" s="540"/>
      <c r="D26" s="80"/>
      <c r="E26" s="80"/>
      <c r="F26" s="519"/>
      <c r="G26" s="94"/>
      <c r="H26" s="41"/>
      <c r="I26" s="41"/>
      <c r="J26" s="62" t="s">
        <v>9</v>
      </c>
      <c r="K26" s="61">
        <f>SUM(K25+K24)</f>
        <v>0</v>
      </c>
      <c r="L26" s="61">
        <f>SUM(L25+L24)</f>
        <v>0</v>
      </c>
      <c r="M26" s="60"/>
      <c r="N26" s="34"/>
      <c r="O26" s="10"/>
    </row>
    <row r="27" spans="1:19" ht="13.5" thickBot="1">
      <c r="A27" s="9"/>
      <c r="B27" s="97"/>
      <c r="C27" s="9"/>
      <c r="D27" s="80"/>
      <c r="E27" s="80"/>
      <c r="F27" s="544"/>
      <c r="G27" s="80"/>
      <c r="H27" s="399"/>
      <c r="J27" s="456" t="s">
        <v>462</v>
      </c>
      <c r="K27" s="457">
        <f>K24/B5</f>
        <v>0</v>
      </c>
      <c r="L27" s="458" t="e">
        <f>L24/A7</f>
        <v>#DIV/0!</v>
      </c>
      <c r="M27" s="24"/>
      <c r="O27" s="10"/>
      <c r="P27" s="10"/>
      <c r="Q27" s="10"/>
      <c r="R27" s="10"/>
      <c r="S27" s="10"/>
    </row>
    <row r="28" spans="1:19" ht="15">
      <c r="A28" s="69"/>
      <c r="B28" s="27"/>
      <c r="D28" s="4"/>
      <c r="E28" s="80"/>
      <c r="F28" s="120"/>
      <c r="G28" s="4"/>
      <c r="H28"/>
      <c r="J28" s="14"/>
      <c r="O28" s="10"/>
      <c r="P28" s="10"/>
      <c r="Q28" s="10"/>
      <c r="R28" s="10"/>
      <c r="S28" s="10"/>
    </row>
    <row r="29" spans="1:19" ht="12.75">
      <c r="A29" s="1"/>
      <c r="B29" s="27"/>
      <c r="D29" s="4"/>
      <c r="E29" s="80"/>
      <c r="F29" s="120"/>
      <c r="G29" s="18"/>
      <c r="H29" s="10"/>
      <c r="I29" s="10"/>
      <c r="J29" s="10"/>
      <c r="K29" s="17"/>
      <c r="L29" s="10"/>
      <c r="O29" s="10"/>
      <c r="P29" s="10"/>
      <c r="Q29" s="10"/>
      <c r="R29" s="10"/>
      <c r="S29" s="10"/>
    </row>
    <row r="30" spans="5:19" ht="12.75">
      <c r="E30" s="80"/>
      <c r="H30"/>
      <c r="O30" s="10"/>
      <c r="P30" s="10"/>
      <c r="Q30" s="10"/>
      <c r="R30" s="10"/>
      <c r="S30" s="10"/>
    </row>
    <row r="31" spans="5:19" ht="12.75">
      <c r="E31" s="80"/>
      <c r="H31"/>
      <c r="O31" s="10"/>
      <c r="P31" s="10"/>
      <c r="Q31" s="10"/>
      <c r="R31" s="10"/>
      <c r="S31" s="10"/>
    </row>
    <row r="32" spans="1:19" ht="12.75">
      <c r="A32" s="10"/>
      <c r="B32" s="10"/>
      <c r="C32" s="10"/>
      <c r="D32" s="10"/>
      <c r="E32" s="10"/>
      <c r="F32" s="122"/>
      <c r="G32" s="10"/>
      <c r="H32" s="17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</sheetData>
  <sheetProtection password="CC4A" sheet="1" selectLockedCells="1" sort="0" selectUnlockedCells="1"/>
  <protectedRanges>
    <protectedRange sqref="A7" name="Bereich1_1_1_1"/>
  </protectedRanges>
  <mergeCells count="6">
    <mergeCell ref="M6:M7"/>
    <mergeCell ref="A6:A7"/>
    <mergeCell ref="G6:G7"/>
    <mergeCell ref="I6:I7"/>
    <mergeCell ref="J6:J7"/>
    <mergeCell ref="K6:K7"/>
  </mergeCells>
  <dataValidations count="2">
    <dataValidation type="list" allowBlank="1" sqref="C8:C23">
      <formula1>"Büro,Foyer,Besprechung,Kasse,Beh.WC,WC-D,WC-H,Abstellr.,Kassenhalle,Treppenhaus,Empfang"</formula1>
    </dataValidation>
    <dataValidation type="list" allowBlank="1" sqref="B8:B23">
      <formula1>" 1.UG, 2.UG,0.EG,1.OG,2.OG,3.OG,4.OG,5.OG"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1"/>
  <headerFooter alignWithMargins="0">
    <oddHeader>&amp;LGemeinde Gingen a.d.F.&amp;C&amp;A&amp;REU-Ausschreibung Gebäudereinigung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5F922"/>
  </sheetPr>
  <dimension ref="A1:J19"/>
  <sheetViews>
    <sheetView zoomScale="90" zoomScaleNormal="90" workbookViewId="0" topLeftCell="A1">
      <selection activeCell="H17" sqref="H17"/>
    </sheetView>
  </sheetViews>
  <sheetFormatPr defaultColWidth="11.421875" defaultRowHeight="12.75"/>
  <cols>
    <col min="1" max="1" width="71.28125" style="0" customWidth="1"/>
    <col min="2" max="3" width="11.28125" style="0" customWidth="1"/>
    <col min="4" max="4" width="12.140625" style="0" customWidth="1"/>
    <col min="5" max="5" width="12.00390625" style="0" customWidth="1"/>
    <col min="6" max="6" width="13.57421875" style="0" customWidth="1"/>
    <col min="7" max="7" width="13.00390625" style="0" customWidth="1"/>
    <col min="8" max="8" width="56.140625" style="0" customWidth="1"/>
  </cols>
  <sheetData>
    <row r="1" spans="1:3" ht="30.75" customHeight="1" thickBot="1">
      <c r="A1" s="83" t="s">
        <v>322</v>
      </c>
      <c r="B1" s="51" t="s">
        <v>12</v>
      </c>
      <c r="C1" s="412" t="s">
        <v>433</v>
      </c>
    </row>
    <row r="2" spans="1:4" s="9" customFormat="1" ht="12.75">
      <c r="A2" s="376" t="s">
        <v>311</v>
      </c>
      <c r="B2" s="624" t="s">
        <v>295</v>
      </c>
      <c r="C2" s="385" t="s">
        <v>295</v>
      </c>
      <c r="D2" s="46"/>
    </row>
    <row r="3" spans="1:4" s="9" customFormat="1" ht="12.75">
      <c r="A3" s="377" t="s">
        <v>314</v>
      </c>
      <c r="B3" s="181"/>
      <c r="C3" s="54">
        <v>2</v>
      </c>
      <c r="D3" s="71"/>
    </row>
    <row r="4" spans="1:4" s="9" customFormat="1" ht="12.75">
      <c r="A4" s="377" t="s">
        <v>35</v>
      </c>
      <c r="B4" s="181"/>
      <c r="C4" s="54">
        <v>2</v>
      </c>
      <c r="D4" s="46"/>
    </row>
    <row r="5" spans="1:4" s="9" customFormat="1" ht="12.75">
      <c r="A5" s="383" t="s">
        <v>36</v>
      </c>
      <c r="B5" s="181"/>
      <c r="C5" s="54">
        <v>10</v>
      </c>
      <c r="D5" s="361" t="s">
        <v>342</v>
      </c>
    </row>
    <row r="6" spans="1:10" s="9" customFormat="1" ht="15.75" customHeight="1">
      <c r="A6" s="383" t="s">
        <v>318</v>
      </c>
      <c r="B6" s="623" t="s">
        <v>295</v>
      </c>
      <c r="C6" s="382" t="s">
        <v>295</v>
      </c>
      <c r="D6" s="72"/>
      <c r="H6" s="10"/>
      <c r="I6" s="10"/>
      <c r="J6" s="10"/>
    </row>
    <row r="7" spans="1:10" s="9" customFormat="1" ht="15.75" customHeight="1" thickBot="1">
      <c r="A7" s="384" t="s">
        <v>319</v>
      </c>
      <c r="B7" s="283"/>
      <c r="C7" s="55">
        <v>5</v>
      </c>
      <c r="D7" s="72"/>
      <c r="H7" s="10"/>
      <c r="I7" s="10"/>
      <c r="J7" s="10"/>
    </row>
    <row r="8" spans="1:8" s="9" customFormat="1" ht="12" customHeight="1">
      <c r="A8" s="11"/>
      <c r="B8" s="20"/>
      <c r="C8" s="20"/>
      <c r="D8" s="25"/>
      <c r="F8" s="11"/>
      <c r="G8" s="11"/>
      <c r="H8" s="10"/>
    </row>
    <row r="9" spans="1:8" s="41" customFormat="1" ht="18.75" thickBot="1">
      <c r="A9" s="49" t="s">
        <v>27</v>
      </c>
      <c r="B9" s="11"/>
      <c r="F9" s="340"/>
      <c r="G9" s="11"/>
      <c r="H9" s="11"/>
    </row>
    <row r="10" spans="1:8" s="41" customFormat="1" ht="43.5" thickBot="1">
      <c r="A10" s="454" t="s">
        <v>428</v>
      </c>
      <c r="B10" s="448" t="s">
        <v>19</v>
      </c>
      <c r="C10" s="291" t="s">
        <v>76</v>
      </c>
      <c r="D10" s="449" t="s">
        <v>17</v>
      </c>
      <c r="E10" s="450" t="s">
        <v>55</v>
      </c>
      <c r="F10" s="451" t="s">
        <v>56</v>
      </c>
      <c r="G10" s="11"/>
      <c r="H10" s="11"/>
    </row>
    <row r="11" spans="1:8" s="41" customFormat="1" ht="16.5" customHeight="1" thickBot="1">
      <c r="A11" s="452" t="s">
        <v>435</v>
      </c>
      <c r="B11" s="453">
        <v>391.62</v>
      </c>
      <c r="C11" s="287"/>
      <c r="D11" s="288" t="e">
        <f>('StdVS Grundreinigung'!C58)/C11</f>
        <v>#DIV/0!</v>
      </c>
      <c r="E11" s="289" t="e">
        <f>B11*D11</f>
        <v>#DIV/0!</v>
      </c>
      <c r="F11" s="290" t="e">
        <f>E11*1.19</f>
        <v>#DIV/0!</v>
      </c>
      <c r="G11" s="11"/>
      <c r="H11" s="11"/>
    </row>
    <row r="12" spans="1:8" s="41" customFormat="1" ht="12.75">
      <c r="A12" s="1" t="s">
        <v>42</v>
      </c>
      <c r="G12" s="11"/>
      <c r="H12" s="11"/>
    </row>
    <row r="13" spans="1:8" s="41" customFormat="1" ht="12.75">
      <c r="A13" s="1"/>
      <c r="G13" s="11"/>
      <c r="H13" s="11"/>
    </row>
    <row r="14" spans="1:9" s="41" customFormat="1" ht="18.75" thickBot="1">
      <c r="A14" s="297" t="s">
        <v>138</v>
      </c>
      <c r="B14" s="11"/>
      <c r="C14"/>
      <c r="D14"/>
      <c r="E14"/>
      <c r="F14" s="45"/>
      <c r="G14" s="340"/>
      <c r="H14" s="11"/>
      <c r="I14" s="11"/>
    </row>
    <row r="15" spans="1:8" s="41" customFormat="1" ht="25.5">
      <c r="A15" s="434" t="s">
        <v>428</v>
      </c>
      <c r="B15" s="417" t="s">
        <v>19</v>
      </c>
      <c r="C15" s="153" t="s">
        <v>76</v>
      </c>
      <c r="D15" s="152" t="s">
        <v>73</v>
      </c>
      <c r="E15" s="152" t="s">
        <v>55</v>
      </c>
      <c r="F15" s="155" t="s">
        <v>56</v>
      </c>
      <c r="G15" s="11"/>
      <c r="H15" s="11"/>
    </row>
    <row r="16" spans="1:8" s="41" customFormat="1" ht="15" customHeight="1">
      <c r="A16" s="409" t="s">
        <v>456</v>
      </c>
      <c r="B16" s="432">
        <v>39.26</v>
      </c>
      <c r="C16" s="301"/>
      <c r="D16" s="303" t="e">
        <f>('StdVS Glas-und Fensterreinigung'!C57)/C16</f>
        <v>#DIV/0!</v>
      </c>
      <c r="E16" s="125" t="e">
        <f>B16*D16</f>
        <v>#DIV/0!</v>
      </c>
      <c r="F16" s="136" t="e">
        <f>E16*1.19</f>
        <v>#DIV/0!</v>
      </c>
      <c r="G16" s="11"/>
      <c r="H16" s="11"/>
    </row>
    <row r="17" spans="1:8" s="41" customFormat="1" ht="13.5" thickBot="1">
      <c r="A17" s="410" t="s">
        <v>62</v>
      </c>
      <c r="B17" s="407" t="s">
        <v>57</v>
      </c>
      <c r="C17" s="156" t="s">
        <v>57</v>
      </c>
      <c r="D17" s="156" t="s">
        <v>39</v>
      </c>
      <c r="E17" s="157"/>
      <c r="F17" s="158">
        <f>E17*1.19</f>
        <v>0</v>
      </c>
      <c r="G17" s="11"/>
      <c r="H17" s="11"/>
    </row>
    <row r="18" spans="1:6" s="41" customFormat="1" ht="15.75" customHeight="1" thickBot="1">
      <c r="A18" s="411" t="s">
        <v>437</v>
      </c>
      <c r="B18" s="433">
        <f>SUM(B16:B17)</f>
        <v>39.26</v>
      </c>
      <c r="C18" s="165"/>
      <c r="D18" s="160" t="s">
        <v>39</v>
      </c>
      <c r="E18" s="47" t="e">
        <f>SUM(E16:E17)</f>
        <v>#DIV/0!</v>
      </c>
      <c r="F18" s="48" t="e">
        <f>SUM(F16:F17)</f>
        <v>#DIV/0!</v>
      </c>
    </row>
    <row r="19" spans="1:6" s="41" customFormat="1" ht="12.75">
      <c r="A19"/>
      <c r="B19"/>
      <c r="C19"/>
      <c r="D19"/>
      <c r="E19"/>
      <c r="F19"/>
    </row>
  </sheetData>
  <sheetProtection selectLockedCells="1"/>
  <protectedRanges>
    <protectedRange sqref="D11" name="Bereich1_2"/>
    <protectedRange sqref="D18" name="Bereich1_1_1_1"/>
    <protectedRange sqref="A18" name="Bereich1_1_2_1_1_1"/>
    <protectedRange sqref="D17" name="Bereich1_1_2_3_1"/>
    <protectedRange sqref="E17" name="Bereich1_1_1_1_1_1_1_1"/>
    <protectedRange sqref="A17:C17" name="Bereich1_1_2_2_1_1"/>
    <protectedRange sqref="D16" name="Bereich1_2_1_1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3"/>
  <headerFooter alignWithMargins="0">
    <oddHeader>&amp;LGemeinde Gingen a.d.F.&amp;C&amp;A&amp;REU-Ausschreibung Gebäudereinigung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7"/>
  <sheetViews>
    <sheetView zoomScale="90" zoomScaleNormal="90" zoomScaleSheetLayoutView="100" workbookViewId="0" topLeftCell="A1">
      <selection activeCell="A41" sqref="A41"/>
    </sheetView>
  </sheetViews>
  <sheetFormatPr defaultColWidth="11.421875" defaultRowHeight="12.75"/>
  <cols>
    <col min="1" max="1" width="56.421875" style="0" customWidth="1"/>
    <col min="2" max="2" width="16.421875" style="0" customWidth="1"/>
    <col min="3" max="3" width="21.28125" style="0" customWidth="1"/>
    <col min="4" max="4" width="12.7109375" style="0" hidden="1" customWidth="1"/>
    <col min="5" max="5" width="12.7109375" style="0" customWidth="1"/>
    <col min="6" max="6" width="13.28125" style="0" customWidth="1"/>
    <col min="7" max="7" width="11.8515625" style="4" customWidth="1"/>
    <col min="8" max="8" width="10.421875" style="0" customWidth="1"/>
    <col min="9" max="9" width="10.8515625" style="4" customWidth="1"/>
    <col min="10" max="10" width="10.57421875" style="0" customWidth="1"/>
    <col min="11" max="11" width="13.421875" style="0" customWidth="1"/>
    <col min="12" max="12" width="13.7109375" style="0" customWidth="1"/>
    <col min="13" max="13" width="15.00390625" style="0" customWidth="1"/>
    <col min="14" max="14" width="13.00390625" style="0" customWidth="1"/>
    <col min="15" max="15" width="10.7109375" style="0" customWidth="1"/>
  </cols>
  <sheetData>
    <row r="1" spans="1:20" ht="12.75">
      <c r="A1" s="1" t="s">
        <v>10</v>
      </c>
      <c r="B1" s="27" t="s">
        <v>147</v>
      </c>
      <c r="D1" s="5"/>
      <c r="F1" s="5"/>
      <c r="G1" s="3"/>
      <c r="H1" s="4"/>
      <c r="I1"/>
      <c r="P1" s="10"/>
      <c r="Q1" s="10"/>
      <c r="R1" s="10"/>
      <c r="S1" s="10"/>
      <c r="T1" s="10"/>
    </row>
    <row r="2" spans="1:20" ht="12.75">
      <c r="A2" s="1" t="s">
        <v>34</v>
      </c>
      <c r="B2" s="27" t="s">
        <v>533</v>
      </c>
      <c r="C2" s="41"/>
      <c r="D2" s="63"/>
      <c r="F2" s="5"/>
      <c r="G2" s="3"/>
      <c r="H2" s="4"/>
      <c r="I2"/>
      <c r="P2" s="10"/>
      <c r="Q2" s="10"/>
      <c r="R2" s="10"/>
      <c r="S2" s="10"/>
      <c r="T2" s="10"/>
    </row>
    <row r="3" spans="1:20" ht="12.75">
      <c r="A3" s="1" t="s">
        <v>23</v>
      </c>
      <c r="B3" s="27" t="s">
        <v>545</v>
      </c>
      <c r="C3" s="41"/>
      <c r="D3" s="5"/>
      <c r="F3" s="5"/>
      <c r="G3" s="3"/>
      <c r="H3" s="4"/>
      <c r="I3"/>
      <c r="P3" s="10"/>
      <c r="Q3" s="10"/>
      <c r="R3" s="10"/>
      <c r="S3" s="10"/>
      <c r="T3" s="10"/>
    </row>
    <row r="4" spans="1:20" ht="17.25">
      <c r="A4" s="1" t="s">
        <v>29</v>
      </c>
      <c r="B4" s="44"/>
      <c r="C4" s="338"/>
      <c r="D4" s="17"/>
      <c r="E4" s="9"/>
      <c r="F4" s="5"/>
      <c r="G4" s="3"/>
      <c r="H4" s="4"/>
      <c r="I4"/>
      <c r="P4" s="10"/>
      <c r="Q4" s="10"/>
      <c r="R4" s="10"/>
      <c r="S4" s="10"/>
      <c r="T4" s="10"/>
    </row>
    <row r="5" spans="1:20" ht="15" thickBot="1">
      <c r="A5" s="1" t="s">
        <v>11</v>
      </c>
      <c r="B5" s="77">
        <v>239</v>
      </c>
      <c r="C5" s="124"/>
      <c r="D5" s="28" t="s">
        <v>24</v>
      </c>
      <c r="F5" s="519"/>
      <c r="G5" s="519"/>
      <c r="H5" s="519"/>
      <c r="I5" s="519"/>
      <c r="J5" s="9"/>
      <c r="N5" s="2"/>
      <c r="P5" s="10"/>
      <c r="Q5" s="10"/>
      <c r="R5" s="10"/>
      <c r="S5" s="10"/>
      <c r="T5" s="10"/>
    </row>
    <row r="6" spans="1:20" ht="20.25">
      <c r="A6" s="684" t="s">
        <v>14</v>
      </c>
      <c r="B6" s="284" t="s">
        <v>519</v>
      </c>
      <c r="C6" s="30" t="s">
        <v>15</v>
      </c>
      <c r="D6" s="31" t="s">
        <v>25</v>
      </c>
      <c r="E6" s="29" t="s">
        <v>77</v>
      </c>
      <c r="F6" s="31" t="s">
        <v>26</v>
      </c>
      <c r="G6" s="32" t="s">
        <v>13</v>
      </c>
      <c r="H6" s="686" t="s">
        <v>44</v>
      </c>
      <c r="I6" s="30" t="s">
        <v>2</v>
      </c>
      <c r="J6" s="684" t="s">
        <v>49</v>
      </c>
      <c r="K6" s="684" t="s">
        <v>32</v>
      </c>
      <c r="L6" s="684" t="s">
        <v>5</v>
      </c>
      <c r="M6" s="684" t="s">
        <v>4</v>
      </c>
      <c r="N6" s="684" t="s">
        <v>6</v>
      </c>
      <c r="P6" s="10"/>
      <c r="Q6" s="10"/>
      <c r="R6" s="10"/>
      <c r="S6" s="10"/>
      <c r="T6" s="10"/>
    </row>
    <row r="7" spans="1:20" ht="13.5" thickBot="1">
      <c r="A7" s="685"/>
      <c r="B7" s="546" t="s">
        <v>520</v>
      </c>
      <c r="C7" s="6"/>
      <c r="D7" s="7" t="s">
        <v>1</v>
      </c>
      <c r="E7" s="52"/>
      <c r="F7" s="7" t="s">
        <v>1</v>
      </c>
      <c r="G7" s="98"/>
      <c r="H7" s="687"/>
      <c r="I7" s="53" t="s">
        <v>3</v>
      </c>
      <c r="J7" s="685"/>
      <c r="K7" s="685"/>
      <c r="L7" s="685"/>
      <c r="M7" s="685"/>
      <c r="N7" s="685"/>
      <c r="P7" s="10"/>
      <c r="Q7" s="10"/>
      <c r="R7" s="10"/>
      <c r="S7" s="10"/>
      <c r="T7" s="10"/>
    </row>
    <row r="8" spans="1:20" ht="26.25">
      <c r="A8" s="386" t="s">
        <v>345</v>
      </c>
      <c r="B8" s="392" t="s">
        <v>348</v>
      </c>
      <c r="C8" s="562" t="s">
        <v>237</v>
      </c>
      <c r="D8" s="166"/>
      <c r="E8" s="549" t="s">
        <v>22</v>
      </c>
      <c r="F8" s="550">
        <v>6.25</v>
      </c>
      <c r="G8" s="106">
        <f>VLOOKUP(A8,'Matrix Hohensteinhalle'!$A$2:$C$9,3,1)</f>
        <v>2</v>
      </c>
      <c r="H8" s="107">
        <f>SUM(F8*(IF(G8=1,3.98,(IF(G8=2,7.97,(IF(G8=2.5,9.96,(IF(G8=3,9.75,(IF(G8=5,19.92,(IF(G8="1 x m",1,(IF(G8="2 x m",2)))))))))))))))</f>
        <v>49.8125</v>
      </c>
      <c r="I8" s="596">
        <f>VLOOKUP(A8,'Matrix Hohensteinhalle'!$A$2:$C$9,2,1)</f>
        <v>0</v>
      </c>
      <c r="J8" s="107">
        <f aca="true" t="shared" si="0" ref="J8:J38">IF(I8&gt;0,SUM(H8/I8),0)</f>
        <v>0</v>
      </c>
      <c r="K8" s="551">
        <f>'StdVS UHR Turnhallen'!$C$57</f>
        <v>0</v>
      </c>
      <c r="L8" s="108">
        <f aca="true" t="shared" si="1" ref="L8:L38">SUM(J8*K8)</f>
        <v>0</v>
      </c>
      <c r="M8" s="108">
        <f aca="true" t="shared" si="2" ref="M8:M39">L8*12</f>
        <v>0</v>
      </c>
      <c r="N8" s="109">
        <f aca="true" t="shared" si="3" ref="N8:N38">IF(H8&gt;0,L8/H8,0)</f>
        <v>0</v>
      </c>
      <c r="P8" s="10"/>
      <c r="Q8" s="10"/>
      <c r="R8" s="10"/>
      <c r="S8" s="10"/>
      <c r="T8" s="10"/>
    </row>
    <row r="9" spans="1:20" ht="26.25">
      <c r="A9" s="356" t="s">
        <v>343</v>
      </c>
      <c r="B9" s="389" t="s">
        <v>16</v>
      </c>
      <c r="C9" s="344" t="s">
        <v>212</v>
      </c>
      <c r="D9" s="91"/>
      <c r="E9" s="344" t="s">
        <v>350</v>
      </c>
      <c r="F9" s="346">
        <v>10.54</v>
      </c>
      <c r="G9" s="65" t="str">
        <f>VLOOKUP(A9,'Matrix Hohensteinhalle'!$A$2:$C$9,3,1)</f>
        <v>2 x m</v>
      </c>
      <c r="H9" s="104">
        <f aca="true" t="shared" si="4" ref="H9:H38">SUM(F9*(IF(G9=1,3.98,(IF(G9=2,7.97,(IF(G9=2.5,9.96,(IF(G9=3,9.75,(IF(G9=5,19.92,(IF(G9="1 x m",1,(IF(G9="2 x m",2)))))))))))))))</f>
        <v>21.08</v>
      </c>
      <c r="I9" s="352">
        <f>VLOOKUP(A9,'Matrix Hohensteinhalle'!$A$2:$C$9,2,1)</f>
        <v>0</v>
      </c>
      <c r="J9" s="104">
        <f t="shared" si="0"/>
        <v>0</v>
      </c>
      <c r="K9" s="66">
        <f>'StdVS UHR Turnhallen'!$C$57</f>
        <v>0</v>
      </c>
      <c r="L9" s="105">
        <f t="shared" si="1"/>
        <v>0</v>
      </c>
      <c r="M9" s="105">
        <f t="shared" si="2"/>
        <v>0</v>
      </c>
      <c r="N9" s="110">
        <f t="shared" si="3"/>
        <v>0</v>
      </c>
      <c r="P9" s="10"/>
      <c r="Q9" s="10"/>
      <c r="R9" s="10"/>
      <c r="S9" s="10"/>
      <c r="T9" s="10"/>
    </row>
    <row r="10" spans="1:20" ht="12.75">
      <c r="A10" s="356" t="s">
        <v>347</v>
      </c>
      <c r="B10" s="389" t="s">
        <v>16</v>
      </c>
      <c r="C10" s="345" t="s">
        <v>218</v>
      </c>
      <c r="D10" s="91"/>
      <c r="E10" s="389" t="s">
        <v>351</v>
      </c>
      <c r="F10" s="345">
        <v>6.56</v>
      </c>
      <c r="G10" s="352">
        <v>1</v>
      </c>
      <c r="H10" s="104">
        <f t="shared" si="4"/>
        <v>26.1088</v>
      </c>
      <c r="I10" s="352">
        <f>VLOOKUP(A10,'Matrix Hohensteinhalle'!$A$2:$C$9,2,1)</f>
        <v>0</v>
      </c>
      <c r="J10" s="104">
        <f t="shared" si="0"/>
        <v>0</v>
      </c>
      <c r="K10" s="66">
        <f>'StdVS UHR Turnhallen'!$C$57</f>
        <v>0</v>
      </c>
      <c r="L10" s="105">
        <f t="shared" si="1"/>
        <v>0</v>
      </c>
      <c r="M10" s="105">
        <f t="shared" si="2"/>
        <v>0</v>
      </c>
      <c r="N10" s="110">
        <f t="shared" si="3"/>
        <v>0</v>
      </c>
      <c r="P10" s="10"/>
      <c r="Q10" s="10"/>
      <c r="R10" s="10"/>
      <c r="S10" s="10"/>
      <c r="T10" s="10"/>
    </row>
    <row r="11" spans="1:20" ht="26.25">
      <c r="A11" s="356" t="s">
        <v>343</v>
      </c>
      <c r="B11" s="389" t="s">
        <v>16</v>
      </c>
      <c r="C11" s="435" t="s">
        <v>221</v>
      </c>
      <c r="D11" s="91"/>
      <c r="E11" s="389" t="s">
        <v>351</v>
      </c>
      <c r="F11" s="346">
        <v>3.71</v>
      </c>
      <c r="G11" s="352" t="s">
        <v>424</v>
      </c>
      <c r="H11" s="104">
        <f t="shared" si="4"/>
        <v>3.71</v>
      </c>
      <c r="I11" s="352">
        <f>VLOOKUP(A11,'Matrix Hohensteinhalle'!$A$2:$C$9,2,1)</f>
        <v>0</v>
      </c>
      <c r="J11" s="104">
        <f t="shared" si="0"/>
        <v>0</v>
      </c>
      <c r="K11" s="66">
        <f>'StdVS UHR Turnhallen'!$C$57</f>
        <v>0</v>
      </c>
      <c r="L11" s="105">
        <f t="shared" si="1"/>
        <v>0</v>
      </c>
      <c r="M11" s="105">
        <f t="shared" si="2"/>
        <v>0</v>
      </c>
      <c r="N11" s="110">
        <f t="shared" si="3"/>
        <v>0</v>
      </c>
      <c r="P11" s="10"/>
      <c r="Q11" s="10"/>
      <c r="R11" s="10"/>
      <c r="S11" s="10"/>
      <c r="T11" s="10"/>
    </row>
    <row r="12" spans="1:20" ht="12.75">
      <c r="A12" s="356" t="s">
        <v>36</v>
      </c>
      <c r="B12" s="389" t="s">
        <v>277</v>
      </c>
      <c r="C12" s="354" t="s">
        <v>227</v>
      </c>
      <c r="D12" s="91"/>
      <c r="E12" s="344" t="s">
        <v>54</v>
      </c>
      <c r="F12" s="346">
        <v>11.4</v>
      </c>
      <c r="G12" s="352">
        <v>2</v>
      </c>
      <c r="H12" s="104">
        <f t="shared" si="4"/>
        <v>90.858</v>
      </c>
      <c r="I12" s="352">
        <f>VLOOKUP(A12,'Matrix Hohensteinhalle'!$A$2:$C$9,2,1)</f>
        <v>0</v>
      </c>
      <c r="J12" s="104">
        <f t="shared" si="0"/>
        <v>0</v>
      </c>
      <c r="K12" s="66">
        <f>'StdVS UHR Turnhallen'!$C$57</f>
        <v>0</v>
      </c>
      <c r="L12" s="105">
        <f t="shared" si="1"/>
        <v>0</v>
      </c>
      <c r="M12" s="105">
        <f t="shared" si="2"/>
        <v>0</v>
      </c>
      <c r="N12" s="110">
        <f t="shared" si="3"/>
        <v>0</v>
      </c>
      <c r="P12" s="10"/>
      <c r="Q12" s="10"/>
      <c r="R12" s="10"/>
      <c r="S12" s="10"/>
      <c r="T12" s="10"/>
    </row>
    <row r="13" spans="1:20" ht="12.75">
      <c r="A13" s="356" t="s">
        <v>36</v>
      </c>
      <c r="B13" s="389" t="s">
        <v>277</v>
      </c>
      <c r="C13" s="354" t="s">
        <v>228</v>
      </c>
      <c r="D13" s="91"/>
      <c r="E13" s="344" t="s">
        <v>54</v>
      </c>
      <c r="F13" s="346">
        <v>11.4</v>
      </c>
      <c r="G13" s="352">
        <v>1</v>
      </c>
      <c r="H13" s="104">
        <f t="shared" si="4"/>
        <v>45.372</v>
      </c>
      <c r="I13" s="352">
        <f>VLOOKUP(A13,'Matrix Hohensteinhalle'!$A$2:$C$9,2,1)</f>
        <v>0</v>
      </c>
      <c r="J13" s="104">
        <f t="shared" si="0"/>
        <v>0</v>
      </c>
      <c r="K13" s="66">
        <f>'StdVS UHR Turnhallen'!$C$57</f>
        <v>0</v>
      </c>
      <c r="L13" s="105">
        <f t="shared" si="1"/>
        <v>0</v>
      </c>
      <c r="M13" s="105">
        <f t="shared" si="2"/>
        <v>0</v>
      </c>
      <c r="N13" s="110">
        <f t="shared" si="3"/>
        <v>0</v>
      </c>
      <c r="P13" s="10"/>
      <c r="Q13" s="10"/>
      <c r="R13" s="10"/>
      <c r="S13" s="10"/>
      <c r="T13" s="10"/>
    </row>
    <row r="14" spans="1:20" ht="12.75">
      <c r="A14" s="356" t="s">
        <v>347</v>
      </c>
      <c r="B14" s="561"/>
      <c r="C14" s="354" t="s">
        <v>356</v>
      </c>
      <c r="D14" s="91"/>
      <c r="E14" s="389" t="s">
        <v>355</v>
      </c>
      <c r="F14" s="346">
        <v>187.5</v>
      </c>
      <c r="G14" s="528" t="s">
        <v>295</v>
      </c>
      <c r="H14" s="104">
        <f t="shared" si="4"/>
        <v>0</v>
      </c>
      <c r="I14" s="352">
        <v>0</v>
      </c>
      <c r="J14" s="104">
        <f t="shared" si="0"/>
        <v>0</v>
      </c>
      <c r="K14" s="66">
        <f>'StdVS UHR Turnhallen'!$C$57</f>
        <v>0</v>
      </c>
      <c r="L14" s="105">
        <f t="shared" si="1"/>
        <v>0</v>
      </c>
      <c r="M14" s="105">
        <f t="shared" si="2"/>
        <v>0</v>
      </c>
      <c r="N14" s="110">
        <f t="shared" si="3"/>
        <v>0</v>
      </c>
      <c r="P14" s="10"/>
      <c r="Q14" s="10"/>
      <c r="R14" s="10"/>
      <c r="S14" s="10"/>
      <c r="T14" s="10"/>
    </row>
    <row r="15" spans="1:20" ht="12.75">
      <c r="A15" s="356" t="s">
        <v>347</v>
      </c>
      <c r="B15" s="389" t="s">
        <v>16</v>
      </c>
      <c r="C15" s="435" t="s">
        <v>219</v>
      </c>
      <c r="D15" s="91"/>
      <c r="E15" s="389" t="s">
        <v>50</v>
      </c>
      <c r="F15" s="346">
        <v>80.66</v>
      </c>
      <c r="G15" s="352" t="s">
        <v>424</v>
      </c>
      <c r="H15" s="104">
        <f t="shared" si="4"/>
        <v>80.66</v>
      </c>
      <c r="I15" s="352">
        <f>VLOOKUP(A15,'Matrix Hohensteinhalle'!$A$2:$C$9,2,1)</f>
        <v>0</v>
      </c>
      <c r="J15" s="104">
        <f t="shared" si="0"/>
        <v>0</v>
      </c>
      <c r="K15" s="66">
        <f>'StdVS UHR Turnhallen'!$C$57</f>
        <v>0</v>
      </c>
      <c r="L15" s="105">
        <f t="shared" si="1"/>
        <v>0</v>
      </c>
      <c r="M15" s="105">
        <f t="shared" si="2"/>
        <v>0</v>
      </c>
      <c r="N15" s="110">
        <f t="shared" si="3"/>
        <v>0</v>
      </c>
      <c r="P15" s="10"/>
      <c r="Q15" s="10"/>
      <c r="R15" s="10"/>
      <c r="S15" s="10"/>
      <c r="T15" s="10"/>
    </row>
    <row r="16" spans="1:20" ht="12.75">
      <c r="A16" s="356" t="s">
        <v>347</v>
      </c>
      <c r="B16" s="401" t="s">
        <v>288</v>
      </c>
      <c r="C16" s="344" t="s">
        <v>222</v>
      </c>
      <c r="D16" s="91"/>
      <c r="E16" s="389" t="s">
        <v>50</v>
      </c>
      <c r="F16" s="346">
        <v>292.32</v>
      </c>
      <c r="G16" s="65" t="str">
        <f>VLOOKUP(A16,'Matrix Hohensteinhalle'!$A$2:$C$9,3,1)</f>
        <v>2 x m</v>
      </c>
      <c r="H16" s="104">
        <f t="shared" si="4"/>
        <v>584.64</v>
      </c>
      <c r="I16" s="352">
        <f>VLOOKUP(A16,'Matrix Hohensteinhalle'!$A$2:$C$9,2,1)</f>
        <v>0</v>
      </c>
      <c r="J16" s="104">
        <f t="shared" si="0"/>
        <v>0</v>
      </c>
      <c r="K16" s="66">
        <f>'StdVS UHR Turnhallen'!$C$57</f>
        <v>0</v>
      </c>
      <c r="L16" s="105">
        <f t="shared" si="1"/>
        <v>0</v>
      </c>
      <c r="M16" s="105">
        <f t="shared" si="2"/>
        <v>0</v>
      </c>
      <c r="N16" s="110">
        <f t="shared" si="3"/>
        <v>0</v>
      </c>
      <c r="P16" s="10"/>
      <c r="Q16" s="10"/>
      <c r="R16" s="10"/>
      <c r="S16" s="10"/>
      <c r="T16" s="10"/>
    </row>
    <row r="17" spans="1:20" ht="12.75">
      <c r="A17" s="286" t="s">
        <v>47</v>
      </c>
      <c r="B17" s="401" t="s">
        <v>288</v>
      </c>
      <c r="C17" s="344" t="s">
        <v>223</v>
      </c>
      <c r="D17" s="91"/>
      <c r="E17" s="344" t="s">
        <v>50</v>
      </c>
      <c r="F17" s="346">
        <v>67.83</v>
      </c>
      <c r="G17" s="65">
        <f>VLOOKUP(A17,'Matrix Hohensteinhalle'!$A$2:$C$9,3,1)</f>
        <v>5</v>
      </c>
      <c r="H17" s="104">
        <f t="shared" si="4"/>
        <v>1351.1736</v>
      </c>
      <c r="I17" s="352">
        <f>VLOOKUP(A17,'Matrix Hohensteinhalle'!$A$2:$C$9,2,1)</f>
        <v>0</v>
      </c>
      <c r="J17" s="104">
        <f t="shared" si="0"/>
        <v>0</v>
      </c>
      <c r="K17" s="66">
        <f>'StdVS UHR Turnhallen'!$C$57</f>
        <v>0</v>
      </c>
      <c r="L17" s="105">
        <f t="shared" si="1"/>
        <v>0</v>
      </c>
      <c r="M17" s="105">
        <f t="shared" si="2"/>
        <v>0</v>
      </c>
      <c r="N17" s="110">
        <f t="shared" si="3"/>
        <v>0</v>
      </c>
      <c r="P17" s="10"/>
      <c r="Q17" s="10"/>
      <c r="R17" s="10"/>
      <c r="S17" s="10"/>
      <c r="T17" s="10"/>
    </row>
    <row r="18" spans="1:20" ht="12.75">
      <c r="A18" s="356" t="s">
        <v>36</v>
      </c>
      <c r="B18" s="389" t="s">
        <v>277</v>
      </c>
      <c r="C18" s="354" t="s">
        <v>229</v>
      </c>
      <c r="D18" s="91"/>
      <c r="E18" s="344" t="s">
        <v>50</v>
      </c>
      <c r="F18" s="346">
        <v>41.53</v>
      </c>
      <c r="G18" s="65">
        <f>VLOOKUP(A18,'Matrix Hohensteinhalle'!$A$2:$C$9,3,1)</f>
        <v>5</v>
      </c>
      <c r="H18" s="104">
        <f t="shared" si="4"/>
        <v>827.2776000000001</v>
      </c>
      <c r="I18" s="352">
        <f>VLOOKUP(A18,'Matrix Hohensteinhalle'!$A$2:$C$9,2,1)</f>
        <v>0</v>
      </c>
      <c r="J18" s="104">
        <f t="shared" si="0"/>
        <v>0</v>
      </c>
      <c r="K18" s="66">
        <f>'StdVS UHR Turnhallen'!$C$57</f>
        <v>0</v>
      </c>
      <c r="L18" s="105">
        <f t="shared" si="1"/>
        <v>0</v>
      </c>
      <c r="M18" s="105">
        <f t="shared" si="2"/>
        <v>0</v>
      </c>
      <c r="N18" s="110">
        <f t="shared" si="3"/>
        <v>0</v>
      </c>
      <c r="P18" s="10"/>
      <c r="Q18" s="10"/>
      <c r="R18" s="10"/>
      <c r="S18" s="10"/>
      <c r="T18" s="10"/>
    </row>
    <row r="19" spans="1:20" ht="22.5">
      <c r="A19" s="286" t="s">
        <v>47</v>
      </c>
      <c r="B19" s="389" t="s">
        <v>16</v>
      </c>
      <c r="C19" s="344" t="s">
        <v>211</v>
      </c>
      <c r="D19" s="91"/>
      <c r="E19" s="344" t="s">
        <v>349</v>
      </c>
      <c r="F19" s="346">
        <v>941.72</v>
      </c>
      <c r="G19" s="65">
        <f>VLOOKUP(A19,'Matrix Hohensteinhalle'!$A$2:$C$9,3,1)</f>
        <v>5</v>
      </c>
      <c r="H19" s="104">
        <f t="shared" si="4"/>
        <v>18759.062400000003</v>
      </c>
      <c r="I19" s="352">
        <f>VLOOKUP(A19,'Matrix Hohensteinhalle'!$A$2:$C$9,2,1)</f>
        <v>0</v>
      </c>
      <c r="J19" s="104">
        <f t="shared" si="0"/>
        <v>0</v>
      </c>
      <c r="K19" s="66">
        <f>'StdVS UHR Turnhallen'!$C$57</f>
        <v>0</v>
      </c>
      <c r="L19" s="105">
        <f t="shared" si="1"/>
        <v>0</v>
      </c>
      <c r="M19" s="105">
        <f t="shared" si="2"/>
        <v>0</v>
      </c>
      <c r="N19" s="110">
        <f t="shared" si="3"/>
        <v>0</v>
      </c>
      <c r="P19" s="10"/>
      <c r="Q19" s="10"/>
      <c r="R19" s="10"/>
      <c r="S19" s="10"/>
      <c r="T19" s="10"/>
    </row>
    <row r="20" spans="1:20" ht="26.25">
      <c r="A20" s="356" t="s">
        <v>343</v>
      </c>
      <c r="B20" s="389" t="s">
        <v>16</v>
      </c>
      <c r="C20" s="344" t="s">
        <v>51</v>
      </c>
      <c r="D20" s="91"/>
      <c r="E20" s="344" t="s">
        <v>264</v>
      </c>
      <c r="F20" s="346">
        <v>187.15</v>
      </c>
      <c r="G20" s="65" t="str">
        <f>VLOOKUP(A20,'Matrix Hohensteinhalle'!$A$2:$C$9,3,1)</f>
        <v>2 x m</v>
      </c>
      <c r="H20" s="104">
        <f t="shared" si="4"/>
        <v>374.3</v>
      </c>
      <c r="I20" s="352">
        <f>VLOOKUP(A20,'Matrix Hohensteinhalle'!$A$2:$C$9,2,1)</f>
        <v>0</v>
      </c>
      <c r="J20" s="104">
        <f t="shared" si="0"/>
        <v>0</v>
      </c>
      <c r="K20" s="66">
        <f>'StdVS UHR Turnhallen'!$C$57</f>
        <v>0</v>
      </c>
      <c r="L20" s="105">
        <f t="shared" si="1"/>
        <v>0</v>
      </c>
      <c r="M20" s="105">
        <f t="shared" si="2"/>
        <v>0</v>
      </c>
      <c r="N20" s="110">
        <f t="shared" si="3"/>
        <v>0</v>
      </c>
      <c r="P20" s="10"/>
      <c r="Q20" s="10"/>
      <c r="R20" s="10"/>
      <c r="S20" s="10"/>
      <c r="T20" s="10"/>
    </row>
    <row r="21" spans="1:20" ht="26.25">
      <c r="A21" s="356" t="s">
        <v>343</v>
      </c>
      <c r="B21" s="389" t="s">
        <v>16</v>
      </c>
      <c r="C21" s="344" t="s">
        <v>213</v>
      </c>
      <c r="D21" s="91"/>
      <c r="E21" s="344" t="s">
        <v>264</v>
      </c>
      <c r="F21" s="346">
        <v>22.05</v>
      </c>
      <c r="G21" s="65" t="str">
        <f>VLOOKUP(A21,'Matrix Hohensteinhalle'!$A$2:$C$9,3,1)</f>
        <v>2 x m</v>
      </c>
      <c r="H21" s="104">
        <f t="shared" si="4"/>
        <v>44.1</v>
      </c>
      <c r="I21" s="352">
        <f>VLOOKUP(A21,'Matrix Hohensteinhalle'!$A$2:$C$9,2,1)</f>
        <v>0</v>
      </c>
      <c r="J21" s="104">
        <f t="shared" si="0"/>
        <v>0</v>
      </c>
      <c r="K21" s="66">
        <f>'StdVS UHR Turnhallen'!$C$57</f>
        <v>0</v>
      </c>
      <c r="L21" s="105">
        <f t="shared" si="1"/>
        <v>0</v>
      </c>
      <c r="M21" s="105">
        <f t="shared" si="2"/>
        <v>0</v>
      </c>
      <c r="N21" s="110">
        <f t="shared" si="3"/>
        <v>0</v>
      </c>
      <c r="P21" s="10"/>
      <c r="Q21" s="10"/>
      <c r="R21" s="10"/>
      <c r="S21" s="10"/>
      <c r="T21" s="10"/>
    </row>
    <row r="22" spans="1:20" ht="22.5">
      <c r="A22" s="356" t="s">
        <v>344</v>
      </c>
      <c r="B22" s="389" t="s">
        <v>16</v>
      </c>
      <c r="C22" s="344" t="s">
        <v>214</v>
      </c>
      <c r="D22" s="91"/>
      <c r="E22" s="344" t="s">
        <v>264</v>
      </c>
      <c r="F22" s="346">
        <v>46.06</v>
      </c>
      <c r="G22" s="352">
        <v>1</v>
      </c>
      <c r="H22" s="104">
        <f t="shared" si="4"/>
        <v>183.3188</v>
      </c>
      <c r="I22" s="352">
        <f>VLOOKUP(A22,'Matrix Hohensteinhalle'!$A$2:$C$9,2,1)</f>
        <v>0</v>
      </c>
      <c r="J22" s="104">
        <f t="shared" si="0"/>
        <v>0</v>
      </c>
      <c r="K22" s="66">
        <f>'StdVS UHR Turnhallen'!$C$57</f>
        <v>0</v>
      </c>
      <c r="L22" s="105">
        <f t="shared" si="1"/>
        <v>0</v>
      </c>
      <c r="M22" s="105">
        <f t="shared" si="2"/>
        <v>0</v>
      </c>
      <c r="N22" s="110">
        <f t="shared" si="3"/>
        <v>0</v>
      </c>
      <c r="P22" s="10"/>
      <c r="Q22" s="10"/>
      <c r="R22" s="10"/>
      <c r="S22" s="10"/>
      <c r="T22" s="10"/>
    </row>
    <row r="23" spans="1:20" ht="26.25">
      <c r="A23" s="356" t="s">
        <v>343</v>
      </c>
      <c r="B23" s="389" t="s">
        <v>16</v>
      </c>
      <c r="C23" s="344" t="s">
        <v>215</v>
      </c>
      <c r="D23" s="91"/>
      <c r="E23" s="344" t="s">
        <v>264</v>
      </c>
      <c r="F23" s="346">
        <v>22.32</v>
      </c>
      <c r="G23" s="352">
        <v>1</v>
      </c>
      <c r="H23" s="104">
        <f t="shared" si="4"/>
        <v>88.8336</v>
      </c>
      <c r="I23" s="352">
        <f>VLOOKUP(A23,'Matrix Hohensteinhalle'!$A$2:$C$9,2,1)</f>
        <v>0</v>
      </c>
      <c r="J23" s="104">
        <f t="shared" si="0"/>
        <v>0</v>
      </c>
      <c r="K23" s="66">
        <f>'StdVS UHR Turnhallen'!$C$57</f>
        <v>0</v>
      </c>
      <c r="L23" s="105">
        <f t="shared" si="1"/>
        <v>0</v>
      </c>
      <c r="M23" s="105">
        <f t="shared" si="2"/>
        <v>0</v>
      </c>
      <c r="N23" s="110">
        <f t="shared" si="3"/>
        <v>0</v>
      </c>
      <c r="P23" s="10"/>
      <c r="Q23" s="10"/>
      <c r="R23" s="10"/>
      <c r="S23" s="10"/>
      <c r="T23" s="10"/>
    </row>
    <row r="24" spans="1:20" ht="22.5">
      <c r="A24" s="356" t="s">
        <v>36</v>
      </c>
      <c r="B24" s="389" t="s">
        <v>16</v>
      </c>
      <c r="C24" s="344" t="s">
        <v>216</v>
      </c>
      <c r="D24" s="91"/>
      <c r="E24" s="344" t="s">
        <v>264</v>
      </c>
      <c r="F24" s="346">
        <v>63.09</v>
      </c>
      <c r="G24" s="65">
        <f>VLOOKUP(A24,'Matrix Hohensteinhalle'!$A$2:$C$9,3,1)</f>
        <v>5</v>
      </c>
      <c r="H24" s="104">
        <f t="shared" si="4"/>
        <v>1256.7528000000002</v>
      </c>
      <c r="I24" s="352">
        <f>VLOOKUP(A24,'Matrix Hohensteinhalle'!$A$2:$C$9,2,1)</f>
        <v>0</v>
      </c>
      <c r="J24" s="104">
        <f t="shared" si="0"/>
        <v>0</v>
      </c>
      <c r="K24" s="66">
        <f>'StdVS UHR Turnhallen'!$C$57</f>
        <v>0</v>
      </c>
      <c r="L24" s="105">
        <f t="shared" si="1"/>
        <v>0</v>
      </c>
      <c r="M24" s="105">
        <f t="shared" si="2"/>
        <v>0</v>
      </c>
      <c r="N24" s="110">
        <f t="shared" si="3"/>
        <v>0</v>
      </c>
      <c r="P24" s="10"/>
      <c r="Q24" s="10"/>
      <c r="R24" s="10"/>
      <c r="S24" s="10"/>
      <c r="T24" s="10"/>
    </row>
    <row r="25" spans="1:20" ht="26.25">
      <c r="A25" s="356" t="s">
        <v>343</v>
      </c>
      <c r="B25" s="389" t="s">
        <v>16</v>
      </c>
      <c r="C25" s="344" t="s">
        <v>217</v>
      </c>
      <c r="D25" s="91"/>
      <c r="E25" s="344" t="s">
        <v>264</v>
      </c>
      <c r="F25" s="346">
        <v>25.73</v>
      </c>
      <c r="G25" s="352">
        <v>2</v>
      </c>
      <c r="H25" s="104">
        <f t="shared" si="4"/>
        <v>205.0681</v>
      </c>
      <c r="I25" s="352">
        <f>VLOOKUP(A25,'Matrix Hohensteinhalle'!$A$2:$C$9,2,1)</f>
        <v>0</v>
      </c>
      <c r="J25" s="104">
        <f t="shared" si="0"/>
        <v>0</v>
      </c>
      <c r="K25" s="66">
        <f>'StdVS UHR Turnhallen'!$C$57</f>
        <v>0</v>
      </c>
      <c r="L25" s="105">
        <f t="shared" si="1"/>
        <v>0</v>
      </c>
      <c r="M25" s="105">
        <f t="shared" si="2"/>
        <v>0</v>
      </c>
      <c r="N25" s="110">
        <f t="shared" si="3"/>
        <v>0</v>
      </c>
      <c r="P25" s="10"/>
      <c r="Q25" s="10"/>
      <c r="R25" s="10"/>
      <c r="S25" s="10"/>
      <c r="T25" s="10"/>
    </row>
    <row r="26" spans="1:20" ht="22.5">
      <c r="A26" s="356" t="s">
        <v>344</v>
      </c>
      <c r="B26" s="389" t="s">
        <v>16</v>
      </c>
      <c r="C26" s="435" t="s">
        <v>220</v>
      </c>
      <c r="D26" s="91"/>
      <c r="E26" s="389" t="s">
        <v>264</v>
      </c>
      <c r="F26" s="346">
        <v>13.45</v>
      </c>
      <c r="G26" s="352" t="s">
        <v>424</v>
      </c>
      <c r="H26" s="104">
        <f t="shared" si="4"/>
        <v>13.45</v>
      </c>
      <c r="I26" s="352">
        <f>VLOOKUP(A26,'Matrix Hohensteinhalle'!$A$2:$C$9,2,1)</f>
        <v>0</v>
      </c>
      <c r="J26" s="104">
        <f t="shared" si="0"/>
        <v>0</v>
      </c>
      <c r="K26" s="66">
        <f>'StdVS UHR Turnhallen'!$C$57</f>
        <v>0</v>
      </c>
      <c r="L26" s="105">
        <f t="shared" si="1"/>
        <v>0</v>
      </c>
      <c r="M26" s="105">
        <f t="shared" si="2"/>
        <v>0</v>
      </c>
      <c r="N26" s="110">
        <f t="shared" si="3"/>
        <v>0</v>
      </c>
      <c r="P26" s="10"/>
      <c r="Q26" s="10"/>
      <c r="R26" s="10"/>
      <c r="S26" s="10"/>
      <c r="T26" s="10"/>
    </row>
    <row r="27" spans="1:20" ht="26.25">
      <c r="A27" s="356" t="s">
        <v>343</v>
      </c>
      <c r="B27" s="401" t="s">
        <v>288</v>
      </c>
      <c r="C27" s="344" t="s">
        <v>224</v>
      </c>
      <c r="D27" s="91"/>
      <c r="E27" s="344" t="s">
        <v>264</v>
      </c>
      <c r="F27" s="346">
        <v>18.8</v>
      </c>
      <c r="G27" s="352">
        <v>2</v>
      </c>
      <c r="H27" s="104">
        <f t="shared" si="4"/>
        <v>149.836</v>
      </c>
      <c r="I27" s="352">
        <f>VLOOKUP(A27,'Matrix Hohensteinhalle'!$A$2:$C$9,2,1)</f>
        <v>0</v>
      </c>
      <c r="J27" s="104">
        <f t="shared" si="0"/>
        <v>0</v>
      </c>
      <c r="K27" s="66">
        <f>'StdVS UHR Turnhallen'!$C$57</f>
        <v>0</v>
      </c>
      <c r="L27" s="105">
        <f t="shared" si="1"/>
        <v>0</v>
      </c>
      <c r="M27" s="105">
        <f t="shared" si="2"/>
        <v>0</v>
      </c>
      <c r="N27" s="110">
        <f t="shared" si="3"/>
        <v>0</v>
      </c>
      <c r="P27" s="10"/>
      <c r="Q27" s="10"/>
      <c r="R27" s="10"/>
      <c r="S27" s="10"/>
      <c r="T27" s="10"/>
    </row>
    <row r="28" spans="1:20" ht="26.25">
      <c r="A28" s="356" t="s">
        <v>343</v>
      </c>
      <c r="B28" s="389" t="s">
        <v>277</v>
      </c>
      <c r="C28" s="354" t="s">
        <v>225</v>
      </c>
      <c r="D28" s="91"/>
      <c r="E28" s="344" t="s">
        <v>264</v>
      </c>
      <c r="F28" s="346">
        <v>36.98</v>
      </c>
      <c r="G28" s="352">
        <v>2</v>
      </c>
      <c r="H28" s="104">
        <f t="shared" si="4"/>
        <v>294.7306</v>
      </c>
      <c r="I28" s="352">
        <f>VLOOKUP(A28,'Matrix Hohensteinhalle'!$A$2:$C$9,2,1)</f>
        <v>0</v>
      </c>
      <c r="J28" s="104">
        <f t="shared" si="0"/>
        <v>0</v>
      </c>
      <c r="K28" s="66">
        <f>'StdVS UHR Turnhallen'!$C$57</f>
        <v>0</v>
      </c>
      <c r="L28" s="105">
        <f t="shared" si="1"/>
        <v>0</v>
      </c>
      <c r="M28" s="105">
        <f t="shared" si="2"/>
        <v>0</v>
      </c>
      <c r="N28" s="110">
        <f t="shared" si="3"/>
        <v>0</v>
      </c>
      <c r="P28" s="10"/>
      <c r="Q28" s="10"/>
      <c r="R28" s="10"/>
      <c r="S28" s="10"/>
      <c r="T28" s="10"/>
    </row>
    <row r="29" spans="1:20" ht="12.75">
      <c r="A29" s="356" t="s">
        <v>344</v>
      </c>
      <c r="B29" s="389" t="s">
        <v>277</v>
      </c>
      <c r="C29" s="354" t="s">
        <v>226</v>
      </c>
      <c r="D29" s="91"/>
      <c r="E29" s="344" t="s">
        <v>264</v>
      </c>
      <c r="F29" s="346">
        <v>15.25</v>
      </c>
      <c r="G29" s="65">
        <f>VLOOKUP(A29,'Matrix Hohensteinhalle'!$A$2:$C$9,3,1)</f>
        <v>5</v>
      </c>
      <c r="H29" s="104">
        <f t="shared" si="4"/>
        <v>303.78000000000003</v>
      </c>
      <c r="I29" s="352">
        <f>VLOOKUP(A29,'Matrix Hohensteinhalle'!$A$2:$C$9,2,1)</f>
        <v>0</v>
      </c>
      <c r="J29" s="104">
        <f t="shared" si="0"/>
        <v>0</v>
      </c>
      <c r="K29" s="66">
        <f>'StdVS UHR Turnhallen'!$C$57</f>
        <v>0</v>
      </c>
      <c r="L29" s="105">
        <f t="shared" si="1"/>
        <v>0</v>
      </c>
      <c r="M29" s="105">
        <f t="shared" si="2"/>
        <v>0</v>
      </c>
      <c r="N29" s="110">
        <f t="shared" si="3"/>
        <v>0</v>
      </c>
      <c r="P29" s="10"/>
      <c r="Q29" s="10"/>
      <c r="R29" s="10"/>
      <c r="S29" s="10"/>
      <c r="T29" s="10"/>
    </row>
    <row r="30" spans="1:20" ht="12.75">
      <c r="A30" s="356" t="s">
        <v>36</v>
      </c>
      <c r="B30" s="389" t="s">
        <v>277</v>
      </c>
      <c r="C30" s="354" t="s">
        <v>230</v>
      </c>
      <c r="D30" s="91"/>
      <c r="E30" s="344" t="s">
        <v>264</v>
      </c>
      <c r="F30" s="346">
        <v>20.54</v>
      </c>
      <c r="G30" s="65">
        <f>VLOOKUP(A30,'Matrix Hohensteinhalle'!$A$2:$C$9,3,1)</f>
        <v>5</v>
      </c>
      <c r="H30" s="104">
        <f t="shared" si="4"/>
        <v>409.15680000000003</v>
      </c>
      <c r="I30" s="352">
        <f>VLOOKUP(A30,'Matrix Hohensteinhalle'!$A$2:$C$9,2,1)</f>
        <v>0</v>
      </c>
      <c r="J30" s="104">
        <f t="shared" si="0"/>
        <v>0</v>
      </c>
      <c r="K30" s="66">
        <f>'StdVS UHR Turnhallen'!$C$57</f>
        <v>0</v>
      </c>
      <c r="L30" s="105">
        <f t="shared" si="1"/>
        <v>0</v>
      </c>
      <c r="M30" s="105">
        <f t="shared" si="2"/>
        <v>0</v>
      </c>
      <c r="N30" s="110">
        <f t="shared" si="3"/>
        <v>0</v>
      </c>
      <c r="P30" s="10"/>
      <c r="Q30" s="10"/>
      <c r="R30" s="10"/>
      <c r="S30" s="10"/>
      <c r="T30" s="10"/>
    </row>
    <row r="31" spans="1:20" ht="26.25">
      <c r="A31" s="356" t="s">
        <v>343</v>
      </c>
      <c r="B31" s="389" t="s">
        <v>348</v>
      </c>
      <c r="C31" s="354" t="s">
        <v>231</v>
      </c>
      <c r="D31" s="91"/>
      <c r="E31" s="344" t="s">
        <v>264</v>
      </c>
      <c r="F31" s="346">
        <v>8</v>
      </c>
      <c r="G31" s="352">
        <v>2</v>
      </c>
      <c r="H31" s="104">
        <f t="shared" si="4"/>
        <v>63.76</v>
      </c>
      <c r="I31" s="352">
        <f>VLOOKUP(A31,'Matrix Hohensteinhalle'!$A$2:$C$9,2,1)</f>
        <v>0</v>
      </c>
      <c r="J31" s="104">
        <f t="shared" si="0"/>
        <v>0</v>
      </c>
      <c r="K31" s="66">
        <f>'StdVS UHR Turnhallen'!$C$57</f>
        <v>0</v>
      </c>
      <c r="L31" s="105">
        <f t="shared" si="1"/>
        <v>0</v>
      </c>
      <c r="M31" s="105">
        <f t="shared" si="2"/>
        <v>0</v>
      </c>
      <c r="N31" s="110">
        <f t="shared" si="3"/>
        <v>0</v>
      </c>
      <c r="P31" s="10"/>
      <c r="Q31" s="10"/>
      <c r="R31" s="10"/>
      <c r="S31" s="10"/>
      <c r="T31" s="10"/>
    </row>
    <row r="32" spans="1:20" ht="26.25">
      <c r="A32" s="356" t="s">
        <v>343</v>
      </c>
      <c r="B32" s="389" t="s">
        <v>348</v>
      </c>
      <c r="C32" s="354" t="s">
        <v>232</v>
      </c>
      <c r="D32" s="91"/>
      <c r="E32" s="344" t="s">
        <v>264</v>
      </c>
      <c r="F32" s="346">
        <v>30.2</v>
      </c>
      <c r="G32" s="352">
        <v>2</v>
      </c>
      <c r="H32" s="104">
        <f t="shared" si="4"/>
        <v>240.694</v>
      </c>
      <c r="I32" s="352">
        <f>VLOOKUP(A32,'Matrix Hohensteinhalle'!$A$2:$C$9,2,1)</f>
        <v>0</v>
      </c>
      <c r="J32" s="104">
        <f t="shared" si="0"/>
        <v>0</v>
      </c>
      <c r="K32" s="66">
        <f>'StdVS UHR Turnhallen'!$C$57</f>
        <v>0</v>
      </c>
      <c r="L32" s="105">
        <f t="shared" si="1"/>
        <v>0</v>
      </c>
      <c r="M32" s="105">
        <f t="shared" si="2"/>
        <v>0</v>
      </c>
      <c r="N32" s="110">
        <f t="shared" si="3"/>
        <v>0</v>
      </c>
      <c r="P32" s="10"/>
      <c r="Q32" s="10"/>
      <c r="R32" s="10"/>
      <c r="S32" s="10"/>
      <c r="T32" s="10"/>
    </row>
    <row r="33" spans="1:20" ht="12.75">
      <c r="A33" s="356" t="s">
        <v>344</v>
      </c>
      <c r="B33" s="389" t="s">
        <v>348</v>
      </c>
      <c r="C33" s="354" t="s">
        <v>234</v>
      </c>
      <c r="D33" s="91"/>
      <c r="E33" s="344" t="s">
        <v>264</v>
      </c>
      <c r="F33" s="346">
        <v>2.1</v>
      </c>
      <c r="G33" s="352">
        <v>2</v>
      </c>
      <c r="H33" s="104">
        <f t="shared" si="4"/>
        <v>16.737000000000002</v>
      </c>
      <c r="I33" s="352">
        <f>VLOOKUP(A33,'Matrix Hohensteinhalle'!$A$2:$C$9,2,1)</f>
        <v>0</v>
      </c>
      <c r="J33" s="104">
        <f t="shared" si="0"/>
        <v>0</v>
      </c>
      <c r="K33" s="66">
        <f>'StdVS UHR Turnhallen'!$C$57</f>
        <v>0</v>
      </c>
      <c r="L33" s="105">
        <f t="shared" si="1"/>
        <v>0</v>
      </c>
      <c r="M33" s="105">
        <f t="shared" si="2"/>
        <v>0</v>
      </c>
      <c r="N33" s="110">
        <f t="shared" si="3"/>
        <v>0</v>
      </c>
      <c r="P33" s="10"/>
      <c r="Q33" s="10"/>
      <c r="R33" s="10"/>
      <c r="S33" s="10"/>
      <c r="T33" s="10"/>
    </row>
    <row r="34" spans="1:20" ht="12.75">
      <c r="A34" s="356" t="s">
        <v>344</v>
      </c>
      <c r="B34" s="389" t="s">
        <v>348</v>
      </c>
      <c r="C34" s="354" t="s">
        <v>235</v>
      </c>
      <c r="D34" s="91"/>
      <c r="E34" s="344" t="s">
        <v>264</v>
      </c>
      <c r="F34" s="346">
        <v>6</v>
      </c>
      <c r="G34" s="352">
        <v>2</v>
      </c>
      <c r="H34" s="104">
        <f t="shared" si="4"/>
        <v>47.82</v>
      </c>
      <c r="I34" s="352">
        <f>VLOOKUP(A34,'Matrix Hohensteinhalle'!$A$2:$C$9,2,1)</f>
        <v>0</v>
      </c>
      <c r="J34" s="104">
        <f t="shared" si="0"/>
        <v>0</v>
      </c>
      <c r="K34" s="66">
        <f>'StdVS UHR Turnhallen'!$C$57</f>
        <v>0</v>
      </c>
      <c r="L34" s="105">
        <f t="shared" si="1"/>
        <v>0</v>
      </c>
      <c r="M34" s="105">
        <f t="shared" si="2"/>
        <v>0</v>
      </c>
      <c r="N34" s="110">
        <f t="shared" si="3"/>
        <v>0</v>
      </c>
      <c r="P34" s="10"/>
      <c r="Q34" s="10"/>
      <c r="R34" s="10"/>
      <c r="S34" s="10"/>
      <c r="T34" s="10"/>
    </row>
    <row r="35" spans="1:20" ht="12.75">
      <c r="A35" s="356" t="s">
        <v>43</v>
      </c>
      <c r="B35" s="389" t="s">
        <v>348</v>
      </c>
      <c r="C35" s="354" t="s">
        <v>45</v>
      </c>
      <c r="D35" s="91"/>
      <c r="E35" s="344" t="s">
        <v>354</v>
      </c>
      <c r="F35" s="346">
        <v>6.25</v>
      </c>
      <c r="G35" s="65">
        <f>VLOOKUP(A35,'Matrix Hohensteinhalle'!$A$2:$C$9,3,1)</f>
        <v>2</v>
      </c>
      <c r="H35" s="104">
        <f t="shared" si="4"/>
        <v>49.8125</v>
      </c>
      <c r="I35" s="352">
        <f>VLOOKUP(A35,'Matrix Hohensteinhalle'!$A$2:$C$9,2,1)</f>
        <v>0</v>
      </c>
      <c r="J35" s="104">
        <f t="shared" si="0"/>
        <v>0</v>
      </c>
      <c r="K35" s="66">
        <f>'StdVS UHR Turnhallen'!$C$57</f>
        <v>0</v>
      </c>
      <c r="L35" s="105">
        <f t="shared" si="1"/>
        <v>0</v>
      </c>
      <c r="M35" s="105">
        <f t="shared" si="2"/>
        <v>0</v>
      </c>
      <c r="N35" s="110">
        <f t="shared" si="3"/>
        <v>0</v>
      </c>
      <c r="P35" s="10"/>
      <c r="Q35" s="10"/>
      <c r="R35" s="10"/>
      <c r="S35" s="10"/>
      <c r="T35" s="10"/>
    </row>
    <row r="36" spans="1:20" ht="12.75">
      <c r="A36" s="356" t="s">
        <v>346</v>
      </c>
      <c r="B36" s="389" t="s">
        <v>348</v>
      </c>
      <c r="C36" s="354" t="s">
        <v>238</v>
      </c>
      <c r="D36" s="91"/>
      <c r="E36" s="344" t="s">
        <v>354</v>
      </c>
      <c r="F36" s="346">
        <v>3.6</v>
      </c>
      <c r="G36" s="65" t="str">
        <f>VLOOKUP(A36,'Matrix Hohensteinhalle'!$A$2:$C$9,3,1)</f>
        <v>1 x m</v>
      </c>
      <c r="H36" s="104">
        <f t="shared" si="4"/>
        <v>3.6</v>
      </c>
      <c r="I36" s="352">
        <f>VLOOKUP(A36,'Matrix Hohensteinhalle'!$A$2:$C$9,2,1)</f>
        <v>0</v>
      </c>
      <c r="J36" s="104">
        <f t="shared" si="0"/>
        <v>0</v>
      </c>
      <c r="K36" s="66">
        <f>'StdVS UHR Turnhallen'!$C$57</f>
        <v>0</v>
      </c>
      <c r="L36" s="105">
        <f t="shared" si="1"/>
        <v>0</v>
      </c>
      <c r="M36" s="105">
        <f t="shared" si="2"/>
        <v>0</v>
      </c>
      <c r="N36" s="110">
        <f t="shared" si="3"/>
        <v>0</v>
      </c>
      <c r="P36" s="10"/>
      <c r="Q36" s="10"/>
      <c r="R36" s="10"/>
      <c r="S36" s="10"/>
      <c r="T36" s="10"/>
    </row>
    <row r="37" spans="1:20" ht="26.25">
      <c r="A37" s="356" t="s">
        <v>343</v>
      </c>
      <c r="B37" s="389" t="s">
        <v>348</v>
      </c>
      <c r="C37" s="354" t="s">
        <v>233</v>
      </c>
      <c r="D37" s="91"/>
      <c r="E37" s="344" t="s">
        <v>352</v>
      </c>
      <c r="F37" s="346">
        <v>10.5</v>
      </c>
      <c r="G37" s="352">
        <v>2</v>
      </c>
      <c r="H37" s="104">
        <f t="shared" si="4"/>
        <v>83.685</v>
      </c>
      <c r="I37" s="352">
        <f>VLOOKUP(A37,'Matrix Hohensteinhalle'!$A$2:$C$9,2,1)</f>
        <v>0</v>
      </c>
      <c r="J37" s="104">
        <f t="shared" si="0"/>
        <v>0</v>
      </c>
      <c r="K37" s="66">
        <f>'StdVS UHR Turnhallen'!$C$57</f>
        <v>0</v>
      </c>
      <c r="L37" s="105">
        <f t="shared" si="1"/>
        <v>0</v>
      </c>
      <c r="M37" s="105">
        <f t="shared" si="2"/>
        <v>0</v>
      </c>
      <c r="N37" s="110">
        <f t="shared" si="3"/>
        <v>0</v>
      </c>
      <c r="P37" s="10"/>
      <c r="Q37" s="10"/>
      <c r="R37" s="10"/>
      <c r="S37" s="10"/>
      <c r="T37" s="10"/>
    </row>
    <row r="38" spans="1:20" ht="23.25" thickBot="1">
      <c r="A38" s="351" t="s">
        <v>347</v>
      </c>
      <c r="B38" s="563" t="s">
        <v>348</v>
      </c>
      <c r="C38" s="552" t="s">
        <v>236</v>
      </c>
      <c r="D38" s="564"/>
      <c r="E38" s="558" t="s">
        <v>353</v>
      </c>
      <c r="F38" s="559">
        <v>68.6</v>
      </c>
      <c r="G38" s="565">
        <v>2</v>
      </c>
      <c r="H38" s="111">
        <f t="shared" si="4"/>
        <v>546.742</v>
      </c>
      <c r="I38" s="565">
        <f>VLOOKUP(A38,'Matrix Hohensteinhalle'!$A$2:$C$9,2,1)</f>
        <v>0</v>
      </c>
      <c r="J38" s="111">
        <f t="shared" si="0"/>
        <v>0</v>
      </c>
      <c r="K38" s="557">
        <f>'StdVS UHR Turnhallen'!$C$57</f>
        <v>0</v>
      </c>
      <c r="L38" s="112">
        <f t="shared" si="1"/>
        <v>0</v>
      </c>
      <c r="M38" s="112">
        <f t="shared" si="2"/>
        <v>0</v>
      </c>
      <c r="N38" s="113">
        <f t="shared" si="3"/>
        <v>0</v>
      </c>
      <c r="P38" s="10"/>
      <c r="Q38" s="10"/>
      <c r="R38" s="10"/>
      <c r="S38" s="10"/>
      <c r="T38" s="10"/>
    </row>
    <row r="39" spans="1:20" ht="13.5" thickBot="1">
      <c r="A39" s="99" t="s">
        <v>48</v>
      </c>
      <c r="B39" s="37"/>
      <c r="C39" s="35"/>
      <c r="D39" s="79"/>
      <c r="E39" s="35"/>
      <c r="F39" s="36">
        <f>SUM(F8:F38)</f>
        <v>2268.0899999999997</v>
      </c>
      <c r="G39" s="100"/>
      <c r="H39" s="115">
        <f>SUM(H8:H38)</f>
        <v>26215.932099999998</v>
      </c>
      <c r="I39" s="102" t="e">
        <f>H39/J39</f>
        <v>#DIV/0!</v>
      </c>
      <c r="J39" s="101">
        <f>SUM(J8:J38)</f>
        <v>0</v>
      </c>
      <c r="K39" s="67" t="s">
        <v>8</v>
      </c>
      <c r="L39" s="68">
        <f>SUM(L8:L38)</f>
        <v>0</v>
      </c>
      <c r="M39" s="68">
        <f t="shared" si="2"/>
        <v>0</v>
      </c>
      <c r="N39" s="103">
        <f>L39/H39</f>
        <v>0</v>
      </c>
      <c r="P39" s="10"/>
      <c r="Q39" s="10"/>
      <c r="R39" s="10"/>
      <c r="S39" s="10"/>
      <c r="T39" s="10"/>
    </row>
    <row r="40" spans="2:20" ht="27" thickBot="1">
      <c r="B40" s="8"/>
      <c r="D40" s="4"/>
      <c r="F40" s="4"/>
      <c r="G40" s="9"/>
      <c r="H40" s="4"/>
      <c r="I40" s="116" t="s">
        <v>58</v>
      </c>
      <c r="K40" s="67" t="s">
        <v>7</v>
      </c>
      <c r="L40" s="68">
        <f>SUM(L39*0.19)</f>
        <v>0</v>
      </c>
      <c r="M40" s="68">
        <f>SUM(M39*0.19)</f>
        <v>0</v>
      </c>
      <c r="P40" s="10"/>
      <c r="Q40" s="10"/>
      <c r="R40" s="10"/>
      <c r="S40" s="10"/>
      <c r="T40" s="10"/>
    </row>
    <row r="41" spans="1:16" ht="15.75" customHeight="1" thickBot="1">
      <c r="A41" s="93"/>
      <c r="B41" s="540"/>
      <c r="C41" s="540"/>
      <c r="D41" s="80"/>
      <c r="E41" s="9"/>
      <c r="F41" s="80"/>
      <c r="G41" s="519"/>
      <c r="H41" s="94"/>
      <c r="I41" s="41"/>
      <c r="J41" s="41"/>
      <c r="K41" s="62" t="s">
        <v>9</v>
      </c>
      <c r="L41" s="61">
        <f>SUM(L40+L39)</f>
        <v>0</v>
      </c>
      <c r="M41" s="61">
        <f>SUM(M40+M39)</f>
        <v>0</v>
      </c>
      <c r="N41" s="60"/>
      <c r="O41" s="34"/>
      <c r="P41" s="10"/>
    </row>
    <row r="42" spans="1:20" ht="12.75">
      <c r="A42" s="9"/>
      <c r="B42" s="97"/>
      <c r="C42" s="9"/>
      <c r="D42" s="80"/>
      <c r="E42" s="9"/>
      <c r="F42" s="80"/>
      <c r="G42" s="9"/>
      <c r="H42" s="80"/>
      <c r="I42"/>
      <c r="K42" s="14"/>
      <c r="L42" s="23"/>
      <c r="M42" s="23"/>
      <c r="N42" s="24"/>
      <c r="P42" s="10"/>
      <c r="Q42" s="10"/>
      <c r="R42" s="10"/>
      <c r="S42" s="10"/>
      <c r="T42" s="10"/>
    </row>
    <row r="43" spans="1:20" ht="15">
      <c r="A43" s="69"/>
      <c r="B43" s="27"/>
      <c r="D43" s="4"/>
      <c r="F43" s="4"/>
      <c r="G43"/>
      <c r="H43" s="4"/>
      <c r="I43"/>
      <c r="K43" s="14"/>
      <c r="P43" s="10"/>
      <c r="Q43" s="10"/>
      <c r="R43" s="10"/>
      <c r="S43" s="10"/>
      <c r="T43" s="10"/>
    </row>
    <row r="44" spans="1:20" ht="12.75">
      <c r="A44" s="1"/>
      <c r="B44" s="27"/>
      <c r="D44" s="4"/>
      <c r="F44" s="4"/>
      <c r="G44"/>
      <c r="H44" s="18"/>
      <c r="I44" s="10"/>
      <c r="J44" s="10"/>
      <c r="K44" s="10"/>
      <c r="L44" s="17"/>
      <c r="M44" s="10"/>
      <c r="P44" s="10"/>
      <c r="Q44" s="10"/>
      <c r="R44" s="10"/>
      <c r="S44" s="10"/>
      <c r="T44" s="10"/>
    </row>
    <row r="45" spans="6:20" ht="12.75">
      <c r="F45" s="4"/>
      <c r="I45"/>
      <c r="P45" s="10"/>
      <c r="Q45" s="10"/>
      <c r="R45" s="10"/>
      <c r="S45" s="10"/>
      <c r="T45" s="10"/>
    </row>
    <row r="46" spans="6:20" ht="12.75">
      <c r="F46" s="4"/>
      <c r="I46"/>
      <c r="P46" s="10"/>
      <c r="Q46" s="10"/>
      <c r="R46" s="10"/>
      <c r="S46" s="10"/>
      <c r="T46" s="10"/>
    </row>
    <row r="47" spans="1:20" ht="12.75">
      <c r="A47" s="10"/>
      <c r="B47" s="10"/>
      <c r="C47" s="10"/>
      <c r="D47" s="10"/>
      <c r="E47" s="10"/>
      <c r="F47" s="10"/>
      <c r="G47" s="17"/>
      <c r="H47" s="10"/>
      <c r="I47" s="17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</sheetData>
  <sheetProtection password="CC4A" sheet="1" selectLockedCells="1" sort="0" selectUnlockedCells="1"/>
  <protectedRanges>
    <protectedRange sqref="A7" name="Bereich1_1_1_1"/>
  </protectedRanges>
  <mergeCells count="7">
    <mergeCell ref="A6:A7"/>
    <mergeCell ref="N6:N7"/>
    <mergeCell ref="J6:J7"/>
    <mergeCell ref="K6:K7"/>
    <mergeCell ref="L6:L7"/>
    <mergeCell ref="M6:M7"/>
    <mergeCell ref="H6:H7"/>
  </mergeCells>
  <dataValidations count="2">
    <dataValidation type="list" allowBlank="1" sqref="C8:C38">
      <formula1>"Büro,Foyer,Besprechung,Kasse,Beh.WC,WC-D,WC-H,Abstellr.,Kassenhalle,Treppenhaus,Empfang"</formula1>
    </dataValidation>
    <dataValidation type="list" allowBlank="1" sqref="B8:B19">
      <formula1>" 1.UG, 2.UG,0.EG,1.OG,2.OG,3.OG,4.OG,5.OG"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4" r:id="rId1"/>
  <headerFooter alignWithMargins="0">
    <oddHeader>&amp;LGemeinde Gingen a.d.F.&amp;C&amp;A&amp;REU-Ausschreibung Gebäudereinigung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5F922"/>
  </sheetPr>
  <dimension ref="A1:G30"/>
  <sheetViews>
    <sheetView zoomScale="90" zoomScaleNormal="90" workbookViewId="0" topLeftCell="A1">
      <selection activeCell="A32" sqref="A32"/>
    </sheetView>
  </sheetViews>
  <sheetFormatPr defaultColWidth="11.421875" defaultRowHeight="12.75"/>
  <cols>
    <col min="1" max="1" width="83.28125" style="0" customWidth="1"/>
    <col min="2" max="2" width="13.7109375" style="0" customWidth="1"/>
    <col min="3" max="3" width="12.28125" style="0" customWidth="1"/>
    <col min="4" max="4" width="12.421875" style="0" customWidth="1"/>
    <col min="5" max="6" width="11.57421875" style="0" customWidth="1"/>
    <col min="7" max="7" width="10.421875" style="0" customWidth="1"/>
  </cols>
  <sheetData>
    <row r="1" spans="1:7" ht="30.75" customHeight="1" thickBot="1">
      <c r="A1" s="83" t="s">
        <v>430</v>
      </c>
      <c r="B1" s="51" t="s">
        <v>12</v>
      </c>
      <c r="C1" s="403" t="s">
        <v>433</v>
      </c>
      <c r="G1" s="41"/>
    </row>
    <row r="2" spans="1:4" ht="12.75">
      <c r="A2" s="386" t="s">
        <v>43</v>
      </c>
      <c r="B2" s="263"/>
      <c r="C2" s="355">
        <v>2</v>
      </c>
      <c r="D2" s="46"/>
    </row>
    <row r="3" spans="1:5" ht="15" customHeight="1">
      <c r="A3" s="523" t="s">
        <v>343</v>
      </c>
      <c r="B3" s="522"/>
      <c r="C3" s="350" t="s">
        <v>140</v>
      </c>
      <c r="D3" s="46"/>
      <c r="E3" s="521"/>
    </row>
    <row r="4" spans="1:4" s="9" customFormat="1" ht="15.75" customHeight="1">
      <c r="A4" s="356" t="s">
        <v>344</v>
      </c>
      <c r="B4" s="181"/>
      <c r="C4" s="54">
        <v>5</v>
      </c>
      <c r="D4" s="72"/>
    </row>
    <row r="5" spans="1:4" s="9" customFormat="1" ht="15.75" customHeight="1">
      <c r="A5" s="356" t="s">
        <v>36</v>
      </c>
      <c r="B5" s="181"/>
      <c r="C5" s="54">
        <v>5</v>
      </c>
      <c r="D5" s="73"/>
    </row>
    <row r="6" spans="1:4" s="9" customFormat="1" ht="15.75" customHeight="1">
      <c r="A6" s="356" t="s">
        <v>345</v>
      </c>
      <c r="B6" s="181"/>
      <c r="C6" s="54">
        <v>2</v>
      </c>
      <c r="D6" s="73"/>
    </row>
    <row r="7" spans="1:4" s="9" customFormat="1" ht="15.75" customHeight="1">
      <c r="A7" s="356" t="s">
        <v>346</v>
      </c>
      <c r="B7" s="181"/>
      <c r="C7" s="350" t="s">
        <v>424</v>
      </c>
      <c r="D7" s="75"/>
    </row>
    <row r="8" spans="1:4" s="9" customFormat="1" ht="15.75" customHeight="1">
      <c r="A8" s="356" t="s">
        <v>47</v>
      </c>
      <c r="B8" s="181"/>
      <c r="C8" s="350">
        <v>5</v>
      </c>
      <c r="D8" s="76"/>
    </row>
    <row r="9" spans="1:4" s="9" customFormat="1" ht="15.75" customHeight="1" thickBot="1">
      <c r="A9" s="351" t="s">
        <v>347</v>
      </c>
      <c r="B9" s="283"/>
      <c r="C9" s="387" t="s">
        <v>140</v>
      </c>
      <c r="D9" s="76"/>
    </row>
    <row r="11" spans="1:7" s="9" customFormat="1" ht="13.5" customHeight="1">
      <c r="A11" s="11"/>
      <c r="B11" s="20"/>
      <c r="C11" s="25"/>
      <c r="E11" s="11"/>
      <c r="F11" s="11"/>
      <c r="G11" s="10"/>
    </row>
    <row r="12" spans="1:7" ht="18.75" thickBot="1">
      <c r="A12" s="123" t="s">
        <v>27</v>
      </c>
      <c r="B12" s="11"/>
      <c r="C12" s="3"/>
      <c r="D12" s="3"/>
      <c r="E12" s="3"/>
      <c r="F12" s="3"/>
      <c r="G12" s="11"/>
    </row>
    <row r="13" spans="1:7" ht="39" thickBot="1">
      <c r="A13" s="442" t="s">
        <v>428</v>
      </c>
      <c r="B13" s="293" t="s">
        <v>19</v>
      </c>
      <c r="C13" s="291" t="s">
        <v>76</v>
      </c>
      <c r="D13" s="293" t="s">
        <v>17</v>
      </c>
      <c r="E13" s="293" t="s">
        <v>55</v>
      </c>
      <c r="F13" s="294" t="s">
        <v>56</v>
      </c>
      <c r="G13" s="10"/>
    </row>
    <row r="14" spans="1:7" ht="16.5" customHeight="1">
      <c r="A14" s="436" t="s">
        <v>451</v>
      </c>
      <c r="B14" s="437">
        <v>187.5</v>
      </c>
      <c r="C14" s="438"/>
      <c r="D14" s="439" t="e">
        <f>('StdVS Grundreinigung'!C58)/C14</f>
        <v>#DIV/0!</v>
      </c>
      <c r="E14" s="440" t="e">
        <f>B14*D14</f>
        <v>#DIV/0!</v>
      </c>
      <c r="F14" s="441" t="e">
        <f>E14*1.19</f>
        <v>#DIV/0!</v>
      </c>
      <c r="G14" s="10"/>
    </row>
    <row r="15" spans="1:7" ht="12.75">
      <c r="A15" s="388" t="s">
        <v>452</v>
      </c>
      <c r="B15" s="422">
        <v>594.09</v>
      </c>
      <c r="C15" s="304"/>
      <c r="D15" s="303" t="e">
        <f>('StdVS Grundreinigung'!C58)/C15</f>
        <v>#DIV/0!</v>
      </c>
      <c r="E15" s="423" t="e">
        <f>B15*D15</f>
        <v>#DIV/0!</v>
      </c>
      <c r="F15" s="424" t="e">
        <f>E15*1.19</f>
        <v>#DIV/0!</v>
      </c>
      <c r="G15" s="10"/>
    </row>
    <row r="16" spans="1:7" ht="12.75">
      <c r="A16" s="388" t="s">
        <v>453</v>
      </c>
      <c r="B16" s="422">
        <v>941.72</v>
      </c>
      <c r="C16" s="304"/>
      <c r="D16" s="303" t="e">
        <f>('StdVS Grundreinigung'!C58)/C16</f>
        <v>#DIV/0!</v>
      </c>
      <c r="E16" s="423" t="e">
        <f>B16*D16</f>
        <v>#DIV/0!</v>
      </c>
      <c r="F16" s="424" t="e">
        <f>E16*1.19</f>
        <v>#DIV/0!</v>
      </c>
      <c r="G16" s="10"/>
    </row>
    <row r="17" spans="1:7" ht="13.5" thickBot="1">
      <c r="A17" s="443" t="s">
        <v>448</v>
      </c>
      <c r="B17" s="444">
        <v>544.78</v>
      </c>
      <c r="C17" s="306"/>
      <c r="D17" s="305" t="e">
        <f>('StdVS Grundreinigung'!C58)/C17</f>
        <v>#DIV/0!</v>
      </c>
      <c r="E17" s="445" t="e">
        <f>B17*D17</f>
        <v>#DIV/0!</v>
      </c>
      <c r="F17" s="446" t="e">
        <f>E17*1.19</f>
        <v>#DIV/0!</v>
      </c>
      <c r="G17" s="10"/>
    </row>
    <row r="18" spans="1:7" ht="13.5" thickBot="1">
      <c r="A18" s="447" t="s">
        <v>438</v>
      </c>
      <c r="B18" s="169">
        <f>B14+B15+B17+B16</f>
        <v>2268.09</v>
      </c>
      <c r="C18" s="625" t="s">
        <v>57</v>
      </c>
      <c r="D18" s="625" t="s">
        <v>39</v>
      </c>
      <c r="E18" s="47" t="e">
        <f>SUM(E14:E17)</f>
        <v>#DIV/0!</v>
      </c>
      <c r="F18" s="48" t="e">
        <f>SUM(F14:F17)</f>
        <v>#DIV/0!</v>
      </c>
      <c r="G18" s="10"/>
    </row>
    <row r="19" spans="1:7" ht="12.75">
      <c r="A19" s="1" t="s">
        <v>457</v>
      </c>
      <c r="B19" s="81"/>
      <c r="C19" s="82"/>
      <c r="D19" s="73"/>
      <c r="E19" s="74"/>
      <c r="F19" s="74"/>
      <c r="G19" s="10"/>
    </row>
    <row r="20" spans="1:7" ht="12.75">
      <c r="A20" s="1" t="s">
        <v>549</v>
      </c>
      <c r="B20" s="81"/>
      <c r="C20" s="82"/>
      <c r="D20" s="73"/>
      <c r="E20" s="74"/>
      <c r="F20" s="74"/>
      <c r="G20" s="10"/>
    </row>
    <row r="21" ht="12.75">
      <c r="G21" s="10"/>
    </row>
    <row r="22" ht="12.75">
      <c r="G22" s="10"/>
    </row>
    <row r="23" spans="1:7" ht="18.75" thickBot="1">
      <c r="A23" s="297" t="s">
        <v>138</v>
      </c>
      <c r="B23" s="11"/>
      <c r="F23" s="45"/>
      <c r="G23" s="10"/>
    </row>
    <row r="24" spans="1:7" ht="38.25">
      <c r="A24" s="434" t="s">
        <v>428</v>
      </c>
      <c r="B24" s="417" t="s">
        <v>19</v>
      </c>
      <c r="C24" s="153" t="s">
        <v>76</v>
      </c>
      <c r="D24" s="152" t="s">
        <v>73</v>
      </c>
      <c r="E24" s="152" t="s">
        <v>55</v>
      </c>
      <c r="F24" s="155" t="s">
        <v>56</v>
      </c>
      <c r="G24" s="10"/>
    </row>
    <row r="25" spans="1:7" ht="15" customHeight="1">
      <c r="A25" s="409" t="s">
        <v>454</v>
      </c>
      <c r="B25" s="432">
        <v>400.43</v>
      </c>
      <c r="C25" s="301"/>
      <c r="D25" s="303" t="e">
        <f>('StdVS Glas-und Fensterreinigung'!C57)/C25</f>
        <v>#DIV/0!</v>
      </c>
      <c r="E25" s="125" t="e">
        <f>B25*D25</f>
        <v>#DIV/0!</v>
      </c>
      <c r="F25" s="136" t="e">
        <f>E25*1.19</f>
        <v>#DIV/0!</v>
      </c>
      <c r="G25" s="10"/>
    </row>
    <row r="26" spans="1:7" ht="15.75" customHeight="1" thickBot="1">
      <c r="A26" s="410" t="s">
        <v>62</v>
      </c>
      <c r="B26" s="407" t="s">
        <v>57</v>
      </c>
      <c r="C26" s="156" t="s">
        <v>57</v>
      </c>
      <c r="D26" s="156" t="s">
        <v>39</v>
      </c>
      <c r="E26" s="157"/>
      <c r="F26" s="158">
        <f>E26*1.19</f>
        <v>0</v>
      </c>
      <c r="G26" s="10"/>
    </row>
    <row r="27" spans="1:6" ht="17.25" customHeight="1" thickBot="1">
      <c r="A27" s="411" t="s">
        <v>437</v>
      </c>
      <c r="B27" s="433">
        <f>SUM(B25:B26)</f>
        <v>400.43</v>
      </c>
      <c r="C27" s="165"/>
      <c r="D27" s="160" t="s">
        <v>39</v>
      </c>
      <c r="E27" s="47" t="e">
        <f>SUM(E25:E26)</f>
        <v>#DIV/0!</v>
      </c>
      <c r="F27" s="48" t="e">
        <f>SUM(F25:F26)</f>
        <v>#DIV/0!</v>
      </c>
    </row>
    <row r="28" ht="12.75">
      <c r="A28" s="1"/>
    </row>
    <row r="29" ht="12.75">
      <c r="A29" s="10"/>
    </row>
    <row r="30" ht="12.75">
      <c r="A30" s="10"/>
    </row>
  </sheetData>
  <sheetProtection selectLockedCells="1"/>
  <protectedRanges>
    <protectedRange sqref="D5:D9" name="Bereich1"/>
    <protectedRange sqref="D19:F20 D12:F17" name="Bereich1_2_2_1"/>
    <protectedRange sqref="D18" name="Bereich1_1_2_1"/>
    <protectedRange sqref="A18:C18" name="Bereich1_1_2_1_1"/>
    <protectedRange sqref="A14:A17" name="Bereich1_1_1_2"/>
    <protectedRange sqref="D27" name="Bereich1_1_1"/>
    <protectedRange sqref="A27" name="Bereich1_1_2_1_1_1"/>
    <protectedRange sqref="D26" name="Bereich1_1_2_3"/>
    <protectedRange sqref="E26" name="Bereich1_1_1_1_1_1_1"/>
    <protectedRange sqref="A26:C26" name="Bereich1_1_2_2_1"/>
    <protectedRange sqref="D25" name="Bereich1_2_1_1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3"/>
  <headerFooter alignWithMargins="0">
    <oddHeader>&amp;LGemeinde Gingen a.d.F.&amp;C&amp;A&amp;REU-Ausschreibung Gebäudereinigung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53"/>
  <sheetViews>
    <sheetView zoomScale="90" zoomScaleNormal="90" zoomScaleSheetLayoutView="100" workbookViewId="0" topLeftCell="A1">
      <selection activeCell="A47" sqref="A47"/>
    </sheetView>
  </sheetViews>
  <sheetFormatPr defaultColWidth="11.421875" defaultRowHeight="12.75"/>
  <cols>
    <col min="1" max="1" width="72.00390625" style="0" customWidth="1"/>
    <col min="2" max="2" width="15.28125" style="0" customWidth="1"/>
    <col min="3" max="3" width="27.8515625" style="0" customWidth="1"/>
    <col min="4" max="4" width="12.7109375" style="0" hidden="1" customWidth="1"/>
    <col min="5" max="5" width="12.7109375" style="0" customWidth="1"/>
    <col min="6" max="6" width="9.8515625" style="0" customWidth="1"/>
    <col min="7" max="7" width="10.00390625" style="121" customWidth="1"/>
    <col min="8" max="8" width="10.28125" style="0" customWidth="1"/>
    <col min="9" max="9" width="10.8515625" style="4" customWidth="1"/>
    <col min="10" max="10" width="10.57421875" style="0" customWidth="1"/>
    <col min="11" max="11" width="13.421875" style="0" customWidth="1"/>
    <col min="12" max="12" width="13.7109375" style="0" customWidth="1"/>
    <col min="13" max="13" width="15.00390625" style="0" customWidth="1"/>
    <col min="14" max="14" width="13.00390625" style="0" customWidth="1"/>
    <col min="15" max="15" width="17.00390625" style="0" customWidth="1"/>
    <col min="16" max="16" width="17.8515625" style="0" customWidth="1"/>
    <col min="17" max="17" width="16.28125" style="0" customWidth="1"/>
    <col min="18" max="18" width="18.57421875" style="0" customWidth="1"/>
  </cols>
  <sheetData>
    <row r="1" spans="1:20" ht="12.75">
      <c r="A1" s="1" t="s">
        <v>10</v>
      </c>
      <c r="B1" s="27" t="s">
        <v>146</v>
      </c>
      <c r="D1" s="5"/>
      <c r="F1" s="5"/>
      <c r="G1" s="12"/>
      <c r="H1" s="4"/>
      <c r="I1"/>
      <c r="P1" s="10"/>
      <c r="Q1" s="10"/>
      <c r="R1" s="10"/>
      <c r="S1" s="10"/>
      <c r="T1" s="10"/>
    </row>
    <row r="2" spans="1:20" ht="12.75">
      <c r="A2" s="1" t="s">
        <v>34</v>
      </c>
      <c r="B2" s="27" t="s">
        <v>535</v>
      </c>
      <c r="C2" s="41"/>
      <c r="D2" s="63"/>
      <c r="F2" s="5"/>
      <c r="G2" s="12"/>
      <c r="H2" s="4"/>
      <c r="I2"/>
      <c r="P2" s="10"/>
      <c r="Q2" s="10"/>
      <c r="R2" s="10"/>
      <c r="S2" s="10"/>
      <c r="T2" s="10"/>
    </row>
    <row r="3" spans="1:20" ht="12.75">
      <c r="A3" s="1" t="s">
        <v>23</v>
      </c>
      <c r="B3" s="27" t="s">
        <v>545</v>
      </c>
      <c r="C3" s="41"/>
      <c r="D3" s="5"/>
      <c r="F3" s="5"/>
      <c r="G3" s="12"/>
      <c r="H3" s="4"/>
      <c r="I3"/>
      <c r="P3" s="10"/>
      <c r="Q3" s="10"/>
      <c r="R3" s="10"/>
      <c r="S3" s="10"/>
      <c r="T3" s="10"/>
    </row>
    <row r="4" spans="1:20" ht="17.25">
      <c r="A4" s="1" t="s">
        <v>29</v>
      </c>
      <c r="B4" s="44"/>
      <c r="C4" s="295"/>
      <c r="D4" s="5"/>
      <c r="F4" s="5"/>
      <c r="G4" s="12"/>
      <c r="H4" s="4"/>
      <c r="I4"/>
      <c r="P4" s="10"/>
      <c r="Q4" s="10"/>
      <c r="R4" s="10"/>
      <c r="S4" s="10"/>
      <c r="T4" s="10"/>
    </row>
    <row r="5" spans="1:20" ht="15" thickBot="1">
      <c r="A5" s="390" t="s">
        <v>11</v>
      </c>
      <c r="B5" s="138">
        <v>236</v>
      </c>
      <c r="C5" s="124"/>
      <c r="D5" s="28" t="s">
        <v>24</v>
      </c>
      <c r="F5" s="519"/>
      <c r="G5" s="519"/>
      <c r="H5" s="519"/>
      <c r="I5" s="519"/>
      <c r="J5" s="9"/>
      <c r="N5" s="2"/>
      <c r="P5" s="10"/>
      <c r="Q5" s="10"/>
      <c r="R5" s="10"/>
      <c r="S5" s="10"/>
      <c r="T5" s="10"/>
    </row>
    <row r="6" spans="1:20" ht="20.25">
      <c r="A6" s="684" t="s">
        <v>14</v>
      </c>
      <c r="B6" s="284" t="s">
        <v>519</v>
      </c>
      <c r="C6" s="30" t="s">
        <v>15</v>
      </c>
      <c r="D6" s="31" t="s">
        <v>25</v>
      </c>
      <c r="E6" s="29" t="s">
        <v>28</v>
      </c>
      <c r="F6" s="31" t="s">
        <v>26</v>
      </c>
      <c r="G6" s="29" t="s">
        <v>13</v>
      </c>
      <c r="H6" s="686" t="s">
        <v>44</v>
      </c>
      <c r="I6" s="30" t="s">
        <v>2</v>
      </c>
      <c r="J6" s="684" t="s">
        <v>49</v>
      </c>
      <c r="K6" s="684" t="s">
        <v>32</v>
      </c>
      <c r="L6" s="684" t="s">
        <v>5</v>
      </c>
      <c r="M6" s="684" t="s">
        <v>4</v>
      </c>
      <c r="N6" s="684" t="s">
        <v>6</v>
      </c>
      <c r="P6" s="10"/>
      <c r="Q6" s="10"/>
      <c r="R6" s="10"/>
      <c r="S6" s="10"/>
      <c r="T6" s="10"/>
    </row>
    <row r="7" spans="1:128" ht="13.5" thickBot="1">
      <c r="A7" s="685"/>
      <c r="B7" s="546" t="s">
        <v>520</v>
      </c>
      <c r="C7" s="6"/>
      <c r="D7" s="7" t="s">
        <v>1</v>
      </c>
      <c r="E7" s="52"/>
      <c r="F7" s="7" t="s">
        <v>1</v>
      </c>
      <c r="G7" s="52"/>
      <c r="H7" s="687"/>
      <c r="I7" s="53" t="s">
        <v>3</v>
      </c>
      <c r="J7" s="685"/>
      <c r="K7" s="685"/>
      <c r="L7" s="685"/>
      <c r="M7" s="685"/>
      <c r="N7" s="685"/>
      <c r="O7" s="9"/>
      <c r="P7" s="10"/>
      <c r="Q7" s="10"/>
      <c r="R7" s="10"/>
      <c r="S7" s="10"/>
      <c r="T7" s="10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</row>
    <row r="8" spans="1:154" s="264" customFormat="1" ht="12.75">
      <c r="A8" s="566" t="s">
        <v>289</v>
      </c>
      <c r="B8" s="106" t="s">
        <v>277</v>
      </c>
      <c r="C8" s="549" t="s">
        <v>223</v>
      </c>
      <c r="D8" s="567"/>
      <c r="E8" s="549" t="s">
        <v>276</v>
      </c>
      <c r="F8" s="568">
        <v>101.68</v>
      </c>
      <c r="G8" s="106">
        <f>VLOOKUP(A8,'Matrix KITA '!$A$2:$C$9,3,1)</f>
        <v>5</v>
      </c>
      <c r="H8" s="107">
        <f>SUM(F8*(IF(G8=1,3.93,(IF(G8=2,7.87,(IF(G8=2.5,9.8,(IF(G8=3,11.79,(IF(G8=5,19.67,(IF(G8=0.25,0.99,(IF(G8="2 x p.a.",0.17)))))))))))))))</f>
        <v>2000.0456000000004</v>
      </c>
      <c r="I8" s="596">
        <f>VLOOKUP(A8,'Matrix KITA '!$A$2:$C$9,2,1)</f>
        <v>0</v>
      </c>
      <c r="J8" s="147">
        <f aca="true" t="shared" si="0" ref="J8:J44">IF(I8&gt;0,SUM(H8/I8),0)</f>
        <v>0</v>
      </c>
      <c r="K8" s="551">
        <f>'StdVS Unterhaltsreinigung (UHR)'!$C$57</f>
        <v>0</v>
      </c>
      <c r="L8" s="148">
        <f aca="true" t="shared" si="1" ref="L8:L44">SUM(J8*K8)</f>
        <v>0</v>
      </c>
      <c r="M8" s="148">
        <f aca="true" t="shared" si="2" ref="M8:M45">L8*12</f>
        <v>0</v>
      </c>
      <c r="N8" s="109">
        <f aca="true" t="shared" si="3" ref="N8:N44">IF(H8&gt;0,L8/H8,0)</f>
        <v>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455"/>
      <c r="DZ8" s="455"/>
      <c r="EA8" s="455"/>
      <c r="EB8" s="455"/>
      <c r="EC8" s="455"/>
      <c r="ED8" s="455"/>
      <c r="EE8" s="455"/>
      <c r="EF8" s="455"/>
      <c r="EG8" s="455"/>
      <c r="EH8" s="455"/>
      <c r="EI8" s="455"/>
      <c r="EJ8" s="455"/>
      <c r="EK8" s="455"/>
      <c r="EL8" s="455"/>
      <c r="EM8" s="455"/>
      <c r="EN8" s="455"/>
      <c r="EO8" s="455"/>
      <c r="EP8" s="455"/>
      <c r="EQ8" s="455"/>
      <c r="ER8" s="455"/>
      <c r="ES8" s="455"/>
      <c r="ET8" s="455"/>
      <c r="EU8" s="455"/>
      <c r="EV8" s="455"/>
      <c r="EW8" s="455"/>
      <c r="EX8" s="455"/>
    </row>
    <row r="9" spans="1:154" s="264" customFormat="1" ht="12.75">
      <c r="A9" s="286" t="s">
        <v>60</v>
      </c>
      <c r="B9" s="65" t="s">
        <v>277</v>
      </c>
      <c r="C9" s="344" t="s">
        <v>278</v>
      </c>
      <c r="E9" s="344" t="s">
        <v>276</v>
      </c>
      <c r="F9" s="347">
        <v>14.1</v>
      </c>
      <c r="G9" s="397" t="s">
        <v>295</v>
      </c>
      <c r="H9" s="104">
        <f aca="true" t="shared" si="4" ref="H9:H44">SUM(F9*(IF(G9=1,3.93,(IF(G9=2,7.87,(IF(G9=2.5,9.8,(IF(G9=3,11.79,(IF(G9=5,19.67,(IF(G9=0.25,0.99,(IF(G9="2 x p.a.",0.17)))))))))))))))</f>
        <v>0</v>
      </c>
      <c r="I9" s="352">
        <v>0</v>
      </c>
      <c r="J9" s="359">
        <f t="shared" si="0"/>
        <v>0</v>
      </c>
      <c r="K9" s="66">
        <f>'StdVS Unterhaltsreinigung (UHR)'!$C$57</f>
        <v>0</v>
      </c>
      <c r="L9" s="360">
        <f t="shared" si="1"/>
        <v>0</v>
      </c>
      <c r="M9" s="360">
        <f t="shared" si="2"/>
        <v>0</v>
      </c>
      <c r="N9" s="110">
        <f t="shared" si="3"/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455"/>
      <c r="DZ9" s="455"/>
      <c r="EA9" s="455"/>
      <c r="EB9" s="455"/>
      <c r="EC9" s="455"/>
      <c r="ED9" s="455"/>
      <c r="EE9" s="455"/>
      <c r="EF9" s="455"/>
      <c r="EG9" s="455"/>
      <c r="EH9" s="455"/>
      <c r="EI9" s="455"/>
      <c r="EJ9" s="455"/>
      <c r="EK9" s="455"/>
      <c r="EL9" s="455"/>
      <c r="EM9" s="455"/>
      <c r="EN9" s="455"/>
      <c r="EO9" s="455"/>
      <c r="EP9" s="455"/>
      <c r="EQ9" s="455"/>
      <c r="ER9" s="455"/>
      <c r="ES9" s="455"/>
      <c r="ET9" s="455"/>
      <c r="EU9" s="455"/>
      <c r="EV9" s="455"/>
      <c r="EW9" s="455"/>
      <c r="EX9" s="455"/>
    </row>
    <row r="10" spans="1:154" s="264" customFormat="1" ht="12.75">
      <c r="A10" s="180" t="s">
        <v>292</v>
      </c>
      <c r="B10" s="65" t="s">
        <v>277</v>
      </c>
      <c r="C10" s="344" t="s">
        <v>279</v>
      </c>
      <c r="E10" s="344" t="s">
        <v>264</v>
      </c>
      <c r="F10" s="347">
        <v>6.7</v>
      </c>
      <c r="G10" s="65">
        <f>VLOOKUP(A10,'Matrix KITA '!$A$2:$C$9,3,1)</f>
        <v>5</v>
      </c>
      <c r="H10" s="104">
        <f t="shared" si="4"/>
        <v>131.78900000000002</v>
      </c>
      <c r="I10" s="352">
        <f>VLOOKUP(A10,'Matrix KITA '!$A$2:$C$9,2,1)</f>
        <v>0</v>
      </c>
      <c r="J10" s="359">
        <f t="shared" si="0"/>
        <v>0</v>
      </c>
      <c r="K10" s="66">
        <f>'StdVS Unterhaltsreinigung (UHR)'!$C$57</f>
        <v>0</v>
      </c>
      <c r="L10" s="360">
        <f t="shared" si="1"/>
        <v>0</v>
      </c>
      <c r="M10" s="360">
        <f t="shared" si="2"/>
        <v>0</v>
      </c>
      <c r="N10" s="110">
        <f t="shared" si="3"/>
        <v>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455"/>
      <c r="DZ10" s="455"/>
      <c r="EA10" s="455"/>
      <c r="EB10" s="455"/>
      <c r="EC10" s="455"/>
      <c r="ED10" s="455"/>
      <c r="EE10" s="455"/>
      <c r="EF10" s="455"/>
      <c r="EG10" s="455"/>
      <c r="EH10" s="455"/>
      <c r="EI10" s="455"/>
      <c r="EJ10" s="455"/>
      <c r="EK10" s="455"/>
      <c r="EL10" s="455"/>
      <c r="EM10" s="455"/>
      <c r="EN10" s="455"/>
      <c r="EO10" s="455"/>
      <c r="EP10" s="455"/>
      <c r="EQ10" s="455"/>
      <c r="ER10" s="455"/>
      <c r="ES10" s="455"/>
      <c r="ET10" s="455"/>
      <c r="EU10" s="455"/>
      <c r="EV10" s="455"/>
      <c r="EW10" s="455"/>
      <c r="EX10" s="455"/>
    </row>
    <row r="11" spans="1:154" s="264" customFormat="1" ht="12.75">
      <c r="A11" s="180" t="s">
        <v>292</v>
      </c>
      <c r="B11" s="65" t="s">
        <v>277</v>
      </c>
      <c r="C11" s="344" t="s">
        <v>72</v>
      </c>
      <c r="E11" s="344" t="s">
        <v>264</v>
      </c>
      <c r="F11" s="347">
        <v>7.72</v>
      </c>
      <c r="G11" s="65">
        <f>VLOOKUP(A11,'Matrix KITA '!$A$2:$C$9,3,1)</f>
        <v>5</v>
      </c>
      <c r="H11" s="104">
        <f t="shared" si="4"/>
        <v>151.85240000000002</v>
      </c>
      <c r="I11" s="352">
        <f>VLOOKUP(A11,'Matrix KITA '!$A$2:$C$9,2,1)</f>
        <v>0</v>
      </c>
      <c r="J11" s="359">
        <f t="shared" si="0"/>
        <v>0</v>
      </c>
      <c r="K11" s="66">
        <f>'StdVS Unterhaltsreinigung (UHR)'!$C$57</f>
        <v>0</v>
      </c>
      <c r="L11" s="360">
        <f t="shared" si="1"/>
        <v>0</v>
      </c>
      <c r="M11" s="360">
        <f t="shared" si="2"/>
        <v>0</v>
      </c>
      <c r="N11" s="110">
        <f t="shared" si="3"/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455"/>
      <c r="DZ11" s="455"/>
      <c r="EA11" s="455"/>
      <c r="EB11" s="455"/>
      <c r="EC11" s="455"/>
      <c r="ED11" s="455"/>
      <c r="EE11" s="455"/>
      <c r="EF11" s="455"/>
      <c r="EG11" s="455"/>
      <c r="EH11" s="455"/>
      <c r="EI11" s="455"/>
      <c r="EJ11" s="455"/>
      <c r="EK11" s="455"/>
      <c r="EL11" s="455"/>
      <c r="EM11" s="455"/>
      <c r="EN11" s="455"/>
      <c r="EO11" s="455"/>
      <c r="EP11" s="455"/>
      <c r="EQ11" s="455"/>
      <c r="ER11" s="455"/>
      <c r="ES11" s="455"/>
      <c r="ET11" s="455"/>
      <c r="EU11" s="455"/>
      <c r="EV11" s="455"/>
      <c r="EW11" s="455"/>
      <c r="EX11" s="455"/>
    </row>
    <row r="12" spans="1:154" s="264" customFormat="1" ht="12.75">
      <c r="A12" s="180" t="s">
        <v>297</v>
      </c>
      <c r="B12" s="65" t="s">
        <v>277</v>
      </c>
      <c r="C12" s="344" t="s">
        <v>253</v>
      </c>
      <c r="E12" s="344" t="s">
        <v>264</v>
      </c>
      <c r="F12" s="347">
        <v>4.53</v>
      </c>
      <c r="G12" s="352">
        <v>2</v>
      </c>
      <c r="H12" s="104">
        <f t="shared" si="4"/>
        <v>35.6511</v>
      </c>
      <c r="I12" s="352">
        <f>VLOOKUP(A12,'Matrix KITA '!$A$2:$C$9,2,1)</f>
        <v>0</v>
      </c>
      <c r="J12" s="359">
        <f t="shared" si="0"/>
        <v>0</v>
      </c>
      <c r="K12" s="66">
        <f>'StdVS Unterhaltsreinigung (UHR)'!$C$57</f>
        <v>0</v>
      </c>
      <c r="L12" s="360">
        <f t="shared" si="1"/>
        <v>0</v>
      </c>
      <c r="M12" s="360">
        <f t="shared" si="2"/>
        <v>0</v>
      </c>
      <c r="N12" s="110">
        <f t="shared" si="3"/>
        <v>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455"/>
      <c r="DZ12" s="455"/>
      <c r="EA12" s="455"/>
      <c r="EB12" s="455"/>
      <c r="EC12" s="455"/>
      <c r="ED12" s="455"/>
      <c r="EE12" s="455"/>
      <c r="EF12" s="455"/>
      <c r="EG12" s="455"/>
      <c r="EH12" s="455"/>
      <c r="EI12" s="455"/>
      <c r="EJ12" s="455"/>
      <c r="EK12" s="455"/>
      <c r="EL12" s="455"/>
      <c r="EM12" s="455"/>
      <c r="EN12" s="455"/>
      <c r="EO12" s="455"/>
      <c r="EP12" s="455"/>
      <c r="EQ12" s="455"/>
      <c r="ER12" s="455"/>
      <c r="ES12" s="455"/>
      <c r="ET12" s="455"/>
      <c r="EU12" s="455"/>
      <c r="EV12" s="455"/>
      <c r="EW12" s="455"/>
      <c r="EX12" s="455"/>
    </row>
    <row r="13" spans="1:154" s="264" customFormat="1" ht="12.75">
      <c r="A13" s="180" t="s">
        <v>297</v>
      </c>
      <c r="B13" s="65" t="s">
        <v>277</v>
      </c>
      <c r="C13" s="344" t="s">
        <v>280</v>
      </c>
      <c r="E13" s="344" t="s">
        <v>264</v>
      </c>
      <c r="F13" s="347">
        <v>17.8</v>
      </c>
      <c r="G13" s="352">
        <v>2</v>
      </c>
      <c r="H13" s="104">
        <f t="shared" si="4"/>
        <v>140.086</v>
      </c>
      <c r="I13" s="352">
        <f>VLOOKUP(A13,'Matrix KITA '!$A$2:$C$9,2,1)</f>
        <v>0</v>
      </c>
      <c r="J13" s="359">
        <f t="shared" si="0"/>
        <v>0</v>
      </c>
      <c r="K13" s="66">
        <f>'StdVS Unterhaltsreinigung (UHR)'!$C$57</f>
        <v>0</v>
      </c>
      <c r="L13" s="360">
        <f t="shared" si="1"/>
        <v>0</v>
      </c>
      <c r="M13" s="360">
        <f t="shared" si="2"/>
        <v>0</v>
      </c>
      <c r="N13" s="110">
        <f t="shared" si="3"/>
        <v>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455"/>
      <c r="DZ13" s="455"/>
      <c r="EA13" s="455"/>
      <c r="EB13" s="455"/>
      <c r="EC13" s="455"/>
      <c r="ED13" s="455"/>
      <c r="EE13" s="455"/>
      <c r="EF13" s="455"/>
      <c r="EG13" s="455"/>
      <c r="EH13" s="455"/>
      <c r="EI13" s="455"/>
      <c r="EJ13" s="455"/>
      <c r="EK13" s="455"/>
      <c r="EL13" s="455"/>
      <c r="EM13" s="455"/>
      <c r="EN13" s="455"/>
      <c r="EO13" s="455"/>
      <c r="EP13" s="455"/>
      <c r="EQ13" s="455"/>
      <c r="ER13" s="455"/>
      <c r="ES13" s="455"/>
      <c r="ET13" s="455"/>
      <c r="EU13" s="455"/>
      <c r="EV13" s="455"/>
      <c r="EW13" s="455"/>
      <c r="EX13" s="455"/>
    </row>
    <row r="14" spans="1:154" s="264" customFormat="1" ht="12.75">
      <c r="A14" s="180" t="s">
        <v>297</v>
      </c>
      <c r="B14" s="65" t="s">
        <v>277</v>
      </c>
      <c r="C14" s="344" t="s">
        <v>281</v>
      </c>
      <c r="E14" s="344" t="s">
        <v>264</v>
      </c>
      <c r="F14" s="347">
        <v>17.19</v>
      </c>
      <c r="G14" s="352">
        <v>2</v>
      </c>
      <c r="H14" s="104">
        <f t="shared" si="4"/>
        <v>135.2853</v>
      </c>
      <c r="I14" s="352">
        <f>VLOOKUP(A14,'Matrix KITA '!$A$2:$C$9,2,1)</f>
        <v>0</v>
      </c>
      <c r="J14" s="359">
        <f t="shared" si="0"/>
        <v>0</v>
      </c>
      <c r="K14" s="66">
        <f>'StdVS Unterhaltsreinigung (UHR)'!$C$57</f>
        <v>0</v>
      </c>
      <c r="L14" s="360">
        <f t="shared" si="1"/>
        <v>0</v>
      </c>
      <c r="M14" s="360">
        <f t="shared" si="2"/>
        <v>0</v>
      </c>
      <c r="N14" s="110">
        <f t="shared" si="3"/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455"/>
      <c r="DZ14" s="455"/>
      <c r="EA14" s="455"/>
      <c r="EB14" s="455"/>
      <c r="EC14" s="455"/>
      <c r="ED14" s="455"/>
      <c r="EE14" s="455"/>
      <c r="EF14" s="455"/>
      <c r="EG14" s="455"/>
      <c r="EH14" s="455"/>
      <c r="EI14" s="455"/>
      <c r="EJ14" s="455"/>
      <c r="EK14" s="455"/>
      <c r="EL14" s="455"/>
      <c r="EM14" s="455"/>
      <c r="EN14" s="455"/>
      <c r="EO14" s="455"/>
      <c r="EP14" s="455"/>
      <c r="EQ14" s="455"/>
      <c r="ER14" s="455"/>
      <c r="ES14" s="455"/>
      <c r="ET14" s="455"/>
      <c r="EU14" s="455"/>
      <c r="EV14" s="455"/>
      <c r="EW14" s="455"/>
      <c r="EX14" s="455"/>
    </row>
    <row r="15" spans="1:154" s="264" customFormat="1" ht="12.75">
      <c r="A15" s="286" t="s">
        <v>142</v>
      </c>
      <c r="B15" s="65" t="s">
        <v>277</v>
      </c>
      <c r="C15" s="344" t="s">
        <v>282</v>
      </c>
      <c r="E15" s="344" t="s">
        <v>264</v>
      </c>
      <c r="F15" s="347">
        <v>17.93</v>
      </c>
      <c r="G15" s="397" t="s">
        <v>295</v>
      </c>
      <c r="H15" s="104">
        <f t="shared" si="4"/>
        <v>0</v>
      </c>
      <c r="I15" s="352">
        <v>0</v>
      </c>
      <c r="J15" s="359">
        <f t="shared" si="0"/>
        <v>0</v>
      </c>
      <c r="K15" s="66">
        <f>'StdVS Unterhaltsreinigung (UHR)'!$C$57</f>
        <v>0</v>
      </c>
      <c r="L15" s="360">
        <f t="shared" si="1"/>
        <v>0</v>
      </c>
      <c r="M15" s="360">
        <f t="shared" si="2"/>
        <v>0</v>
      </c>
      <c r="N15" s="110">
        <f t="shared" si="3"/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455"/>
      <c r="DZ15" s="455"/>
      <c r="EA15" s="455"/>
      <c r="EB15" s="455"/>
      <c r="EC15" s="455"/>
      <c r="ED15" s="455"/>
      <c r="EE15" s="455"/>
      <c r="EF15" s="455"/>
      <c r="EG15" s="455"/>
      <c r="EH15" s="455"/>
      <c r="EI15" s="455"/>
      <c r="EJ15" s="455"/>
      <c r="EK15" s="455"/>
      <c r="EL15" s="455"/>
      <c r="EM15" s="455"/>
      <c r="EN15" s="455"/>
      <c r="EO15" s="455"/>
      <c r="EP15" s="455"/>
      <c r="EQ15" s="455"/>
      <c r="ER15" s="455"/>
      <c r="ES15" s="455"/>
      <c r="ET15" s="455"/>
      <c r="EU15" s="455"/>
      <c r="EV15" s="455"/>
      <c r="EW15" s="455"/>
      <c r="EX15" s="455"/>
    </row>
    <row r="16" spans="1:154" s="264" customFormat="1" ht="12.75">
      <c r="A16" s="286" t="s">
        <v>60</v>
      </c>
      <c r="B16" s="65" t="s">
        <v>277</v>
      </c>
      <c r="C16" s="344" t="s">
        <v>284</v>
      </c>
      <c r="E16" s="344" t="s">
        <v>264</v>
      </c>
      <c r="F16" s="347">
        <v>19</v>
      </c>
      <c r="G16" s="397" t="s">
        <v>295</v>
      </c>
      <c r="H16" s="104">
        <f t="shared" si="4"/>
        <v>0</v>
      </c>
      <c r="I16" s="352">
        <v>0</v>
      </c>
      <c r="J16" s="359">
        <f t="shared" si="0"/>
        <v>0</v>
      </c>
      <c r="K16" s="66">
        <f>'StdVS Unterhaltsreinigung (UHR)'!$C$57</f>
        <v>0</v>
      </c>
      <c r="L16" s="360">
        <f t="shared" si="1"/>
        <v>0</v>
      </c>
      <c r="M16" s="360">
        <f t="shared" si="2"/>
        <v>0</v>
      </c>
      <c r="N16" s="110">
        <f t="shared" si="3"/>
        <v>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455"/>
      <c r="DZ16" s="455"/>
      <c r="EA16" s="455"/>
      <c r="EB16" s="455"/>
      <c r="EC16" s="455"/>
      <c r="ED16" s="455"/>
      <c r="EE16" s="455"/>
      <c r="EF16" s="455"/>
      <c r="EG16" s="455"/>
      <c r="EH16" s="455"/>
      <c r="EI16" s="455"/>
      <c r="EJ16" s="455"/>
      <c r="EK16" s="455"/>
      <c r="EL16" s="455"/>
      <c r="EM16" s="455"/>
      <c r="EN16" s="455"/>
      <c r="EO16" s="455"/>
      <c r="EP16" s="455"/>
      <c r="EQ16" s="455"/>
      <c r="ER16" s="455"/>
      <c r="ES16" s="455"/>
      <c r="ET16" s="455"/>
      <c r="EU16" s="455"/>
      <c r="EV16" s="455"/>
      <c r="EW16" s="455"/>
      <c r="EX16" s="455"/>
    </row>
    <row r="17" spans="1:154" s="264" customFormat="1" ht="12.75">
      <c r="A17" s="286" t="s">
        <v>60</v>
      </c>
      <c r="B17" s="65" t="s">
        <v>277</v>
      </c>
      <c r="C17" s="344" t="s">
        <v>283</v>
      </c>
      <c r="E17" s="344" t="s">
        <v>264</v>
      </c>
      <c r="F17" s="347">
        <v>19</v>
      </c>
      <c r="G17" s="397" t="s">
        <v>295</v>
      </c>
      <c r="H17" s="104">
        <f t="shared" si="4"/>
        <v>0</v>
      </c>
      <c r="I17" s="352">
        <v>0</v>
      </c>
      <c r="J17" s="359">
        <f t="shared" si="0"/>
        <v>0</v>
      </c>
      <c r="K17" s="66">
        <f>'StdVS Unterhaltsreinigung (UHR)'!$C$57</f>
        <v>0</v>
      </c>
      <c r="L17" s="360">
        <f t="shared" si="1"/>
        <v>0</v>
      </c>
      <c r="M17" s="360">
        <f t="shared" si="2"/>
        <v>0</v>
      </c>
      <c r="N17" s="110">
        <f t="shared" si="3"/>
        <v>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455"/>
      <c r="DZ17" s="455"/>
      <c r="EA17" s="455"/>
      <c r="EB17" s="455"/>
      <c r="EC17" s="455"/>
      <c r="ED17" s="455"/>
      <c r="EE17" s="455"/>
      <c r="EF17" s="455"/>
      <c r="EG17" s="455"/>
      <c r="EH17" s="455"/>
      <c r="EI17" s="455"/>
      <c r="EJ17" s="455"/>
      <c r="EK17" s="455"/>
      <c r="EL17" s="455"/>
      <c r="EM17" s="455"/>
      <c r="EN17" s="455"/>
      <c r="EO17" s="455"/>
      <c r="EP17" s="455"/>
      <c r="EQ17" s="455"/>
      <c r="ER17" s="455"/>
      <c r="ES17" s="455"/>
      <c r="ET17" s="455"/>
      <c r="EU17" s="455"/>
      <c r="EV17" s="455"/>
      <c r="EW17" s="455"/>
      <c r="EX17" s="455"/>
    </row>
    <row r="18" spans="1:154" s="264" customFormat="1" ht="12.75">
      <c r="A18" s="286" t="s">
        <v>142</v>
      </c>
      <c r="B18" s="65" t="s">
        <v>277</v>
      </c>
      <c r="C18" s="344" t="s">
        <v>282</v>
      </c>
      <c r="E18" s="344" t="s">
        <v>264</v>
      </c>
      <c r="F18" s="347">
        <v>17.93</v>
      </c>
      <c r="G18" s="397" t="s">
        <v>295</v>
      </c>
      <c r="H18" s="104">
        <f t="shared" si="4"/>
        <v>0</v>
      </c>
      <c r="I18" s="352">
        <v>0</v>
      </c>
      <c r="J18" s="359">
        <f t="shared" si="0"/>
        <v>0</v>
      </c>
      <c r="K18" s="66">
        <f>'StdVS Unterhaltsreinigung (UHR)'!$C$57</f>
        <v>0</v>
      </c>
      <c r="L18" s="360">
        <f t="shared" si="1"/>
        <v>0</v>
      </c>
      <c r="M18" s="360">
        <f t="shared" si="2"/>
        <v>0</v>
      </c>
      <c r="N18" s="110">
        <f t="shared" si="3"/>
        <v>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455"/>
      <c r="DZ18" s="455"/>
      <c r="EA18" s="455"/>
      <c r="EB18" s="455"/>
      <c r="EC18" s="455"/>
      <c r="ED18" s="455"/>
      <c r="EE18" s="455"/>
      <c r="EF18" s="455"/>
      <c r="EG18" s="455"/>
      <c r="EH18" s="455"/>
      <c r="EI18" s="455"/>
      <c r="EJ18" s="455"/>
      <c r="EK18" s="455"/>
      <c r="EL18" s="455"/>
      <c r="EM18" s="455"/>
      <c r="EN18" s="455"/>
      <c r="EO18" s="455"/>
      <c r="EP18" s="455"/>
      <c r="EQ18" s="455"/>
      <c r="ER18" s="455"/>
      <c r="ES18" s="455"/>
      <c r="ET18" s="455"/>
      <c r="EU18" s="455"/>
      <c r="EV18" s="455"/>
      <c r="EW18" s="455"/>
      <c r="EX18" s="455"/>
    </row>
    <row r="19" spans="1:154" s="9" customFormat="1" ht="12.75">
      <c r="A19" s="285" t="s">
        <v>294</v>
      </c>
      <c r="B19" s="65" t="s">
        <v>258</v>
      </c>
      <c r="C19" s="344" t="s">
        <v>259</v>
      </c>
      <c r="D19" s="65"/>
      <c r="E19" s="344" t="s">
        <v>50</v>
      </c>
      <c r="F19" s="347">
        <v>44.4</v>
      </c>
      <c r="G19" s="65">
        <f>VLOOKUP(A19,'Matrix KITA '!$A$2:$C$9,3,1)</f>
        <v>5</v>
      </c>
      <c r="H19" s="104">
        <f t="shared" si="4"/>
        <v>873.3480000000001</v>
      </c>
      <c r="I19" s="352">
        <f>VLOOKUP(A19,'Matrix KITA '!$A$2:$C$9,2,1)</f>
        <v>0</v>
      </c>
      <c r="J19" s="359">
        <f t="shared" si="0"/>
        <v>0</v>
      </c>
      <c r="K19" s="66">
        <f>'StdVS Unterhaltsreinigung (UHR)'!$C$57</f>
        <v>0</v>
      </c>
      <c r="L19" s="360">
        <f t="shared" si="1"/>
        <v>0</v>
      </c>
      <c r="M19" s="360">
        <f t="shared" si="2"/>
        <v>0</v>
      </c>
      <c r="N19" s="110">
        <f t="shared" si="3"/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</row>
    <row r="20" spans="1:154" ht="12.75">
      <c r="A20" s="285" t="s">
        <v>294</v>
      </c>
      <c r="B20" s="65" t="s">
        <v>258</v>
      </c>
      <c r="C20" s="344" t="s">
        <v>195</v>
      </c>
      <c r="D20" s="126"/>
      <c r="E20" s="344" t="s">
        <v>50</v>
      </c>
      <c r="F20" s="347">
        <v>44.4</v>
      </c>
      <c r="G20" s="65">
        <f>VLOOKUP(A20,'Matrix KITA '!$A$2:$C$9,3,1)</f>
        <v>5</v>
      </c>
      <c r="H20" s="104">
        <f t="shared" si="4"/>
        <v>873.3480000000001</v>
      </c>
      <c r="I20" s="352">
        <f>VLOOKUP(A20,'Matrix KITA '!$A$2:$C$9,2,1)</f>
        <v>0</v>
      </c>
      <c r="J20" s="104">
        <f t="shared" si="0"/>
        <v>0</v>
      </c>
      <c r="K20" s="66">
        <f>'StdVS Unterhaltsreinigung (UHR)'!$C$57</f>
        <v>0</v>
      </c>
      <c r="L20" s="105">
        <f t="shared" si="1"/>
        <v>0</v>
      </c>
      <c r="M20" s="105">
        <f t="shared" si="2"/>
        <v>0</v>
      </c>
      <c r="N20" s="110">
        <f t="shared" si="3"/>
        <v>0</v>
      </c>
      <c r="O20" s="3"/>
      <c r="P20" s="10"/>
      <c r="Q20" s="10"/>
      <c r="R20" s="10"/>
      <c r="S20" s="10"/>
      <c r="T20" s="1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</row>
    <row r="21" spans="1:154" ht="12.75">
      <c r="A21" s="285" t="s">
        <v>294</v>
      </c>
      <c r="B21" s="65" t="s">
        <v>258</v>
      </c>
      <c r="C21" s="344" t="s">
        <v>260</v>
      </c>
      <c r="D21" s="126"/>
      <c r="E21" s="344" t="s">
        <v>50</v>
      </c>
      <c r="F21" s="347">
        <v>19.41</v>
      </c>
      <c r="G21" s="65">
        <f>VLOOKUP(A21,'Matrix KITA '!$A$2:$C$9,3,1)</f>
        <v>5</v>
      </c>
      <c r="H21" s="104">
        <f t="shared" si="4"/>
        <v>381.79470000000003</v>
      </c>
      <c r="I21" s="352">
        <f>VLOOKUP(A21,'Matrix KITA '!$A$2:$C$9,2,1)</f>
        <v>0</v>
      </c>
      <c r="J21" s="104">
        <f t="shared" si="0"/>
        <v>0</v>
      </c>
      <c r="K21" s="66">
        <f>'StdVS Unterhaltsreinigung (UHR)'!$C$57</f>
        <v>0</v>
      </c>
      <c r="L21" s="105">
        <f t="shared" si="1"/>
        <v>0</v>
      </c>
      <c r="M21" s="105">
        <f t="shared" si="2"/>
        <v>0</v>
      </c>
      <c r="N21" s="110">
        <f t="shared" si="3"/>
        <v>0</v>
      </c>
      <c r="O21" s="3"/>
      <c r="P21" s="10"/>
      <c r="Q21" s="10"/>
      <c r="R21" s="10"/>
      <c r="S21" s="10"/>
      <c r="T21" s="1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</row>
    <row r="22" spans="1:154" ht="12.75">
      <c r="A22" s="285" t="s">
        <v>294</v>
      </c>
      <c r="B22" s="65" t="s">
        <v>258</v>
      </c>
      <c r="C22" s="344" t="s">
        <v>261</v>
      </c>
      <c r="D22" s="126"/>
      <c r="E22" s="344" t="s">
        <v>50</v>
      </c>
      <c r="F22" s="347">
        <v>19.41</v>
      </c>
      <c r="G22" s="65">
        <f>VLOOKUP(A22,'Matrix KITA '!$A$2:$C$9,3,1)</f>
        <v>5</v>
      </c>
      <c r="H22" s="104">
        <f t="shared" si="4"/>
        <v>381.79470000000003</v>
      </c>
      <c r="I22" s="352">
        <f>VLOOKUP(A22,'Matrix KITA '!$A$2:$C$9,2,1)</f>
        <v>0</v>
      </c>
      <c r="J22" s="104">
        <f t="shared" si="0"/>
        <v>0</v>
      </c>
      <c r="K22" s="66">
        <f>'StdVS Unterhaltsreinigung (UHR)'!$C$57</f>
        <v>0</v>
      </c>
      <c r="L22" s="105">
        <f t="shared" si="1"/>
        <v>0</v>
      </c>
      <c r="M22" s="105">
        <f t="shared" si="2"/>
        <v>0</v>
      </c>
      <c r="N22" s="110">
        <f t="shared" si="3"/>
        <v>0</v>
      </c>
      <c r="O22" s="3"/>
      <c r="P22" s="10"/>
      <c r="Q22" s="10"/>
      <c r="R22" s="10"/>
      <c r="S22" s="10"/>
      <c r="T22" s="1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</row>
    <row r="23" spans="1:154" ht="12.75">
      <c r="A23" s="180" t="s">
        <v>297</v>
      </c>
      <c r="B23" s="65" t="s">
        <v>258</v>
      </c>
      <c r="C23" s="344" t="s">
        <v>266</v>
      </c>
      <c r="D23" s="126"/>
      <c r="E23" s="344" t="s">
        <v>50</v>
      </c>
      <c r="F23" s="347">
        <v>41.28</v>
      </c>
      <c r="G23" s="65">
        <f>VLOOKUP(A23,'Matrix KITA '!$A$2:$C$9,3,1)</f>
        <v>5</v>
      </c>
      <c r="H23" s="104">
        <f t="shared" si="4"/>
        <v>811.9776</v>
      </c>
      <c r="I23" s="352">
        <f>VLOOKUP(A23,'Matrix KITA '!$A$2:$C$9,2,1)</f>
        <v>0</v>
      </c>
      <c r="J23" s="104">
        <f t="shared" si="0"/>
        <v>0</v>
      </c>
      <c r="K23" s="66">
        <f>'StdVS Unterhaltsreinigung (UHR)'!$C$57</f>
        <v>0</v>
      </c>
      <c r="L23" s="105">
        <f t="shared" si="1"/>
        <v>0</v>
      </c>
      <c r="M23" s="105">
        <f t="shared" si="2"/>
        <v>0</v>
      </c>
      <c r="N23" s="110">
        <f t="shared" si="3"/>
        <v>0</v>
      </c>
      <c r="O23" s="3"/>
      <c r="P23" s="10"/>
      <c r="Q23" s="10"/>
      <c r="R23" s="10"/>
      <c r="S23" s="10"/>
      <c r="T23" s="1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</row>
    <row r="24" spans="1:154" ht="12.75">
      <c r="A24" s="180" t="s">
        <v>297</v>
      </c>
      <c r="B24" s="65" t="s">
        <v>258</v>
      </c>
      <c r="C24" s="344" t="s">
        <v>252</v>
      </c>
      <c r="D24" s="126"/>
      <c r="E24" s="344" t="s">
        <v>262</v>
      </c>
      <c r="F24" s="347">
        <v>61.5</v>
      </c>
      <c r="G24" s="65">
        <f>VLOOKUP(A24,'Matrix KITA '!$A$2:$C$9,3,1)</f>
        <v>5</v>
      </c>
      <c r="H24" s="104">
        <f t="shared" si="4"/>
        <v>1209.7050000000002</v>
      </c>
      <c r="I24" s="352">
        <f>VLOOKUP(A24,'Matrix KITA '!$A$2:$C$9,2,1)</f>
        <v>0</v>
      </c>
      <c r="J24" s="104">
        <f t="shared" si="0"/>
        <v>0</v>
      </c>
      <c r="K24" s="66">
        <f>'StdVS Unterhaltsreinigung (UHR)'!$C$57</f>
        <v>0</v>
      </c>
      <c r="L24" s="105">
        <f t="shared" si="1"/>
        <v>0</v>
      </c>
      <c r="M24" s="105">
        <f t="shared" si="2"/>
        <v>0</v>
      </c>
      <c r="N24" s="110">
        <f t="shared" si="3"/>
        <v>0</v>
      </c>
      <c r="O24" s="3"/>
      <c r="P24" s="10"/>
      <c r="Q24" s="10"/>
      <c r="R24" s="10"/>
      <c r="S24" s="10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</row>
    <row r="25" spans="1:154" ht="24" customHeight="1">
      <c r="A25" s="180" t="s">
        <v>297</v>
      </c>
      <c r="B25" s="65" t="s">
        <v>258</v>
      </c>
      <c r="C25" s="344" t="s">
        <v>253</v>
      </c>
      <c r="D25" s="126"/>
      <c r="E25" s="344" t="s">
        <v>263</v>
      </c>
      <c r="F25" s="347">
        <v>3.82</v>
      </c>
      <c r="G25" s="65">
        <f>VLOOKUP(A25,'Matrix KITA '!$A$2:$C$9,3,1)</f>
        <v>5</v>
      </c>
      <c r="H25" s="104">
        <f t="shared" si="4"/>
        <v>75.13940000000001</v>
      </c>
      <c r="I25" s="352">
        <f>VLOOKUP(A25,'Matrix KITA '!$A$2:$C$9,2,1)</f>
        <v>0</v>
      </c>
      <c r="J25" s="104">
        <f t="shared" si="0"/>
        <v>0</v>
      </c>
      <c r="K25" s="66">
        <f>'StdVS Unterhaltsreinigung (UHR)'!$C$57</f>
        <v>0</v>
      </c>
      <c r="L25" s="105">
        <f t="shared" si="1"/>
        <v>0</v>
      </c>
      <c r="M25" s="105">
        <f t="shared" si="2"/>
        <v>0</v>
      </c>
      <c r="N25" s="110">
        <f t="shared" si="3"/>
        <v>0</v>
      </c>
      <c r="O25" s="3"/>
      <c r="P25" s="10"/>
      <c r="Q25" s="10"/>
      <c r="R25" s="10"/>
      <c r="S25" s="10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</row>
    <row r="26" spans="1:154" ht="12.75">
      <c r="A26" s="285" t="s">
        <v>43</v>
      </c>
      <c r="B26" s="65" t="s">
        <v>258</v>
      </c>
      <c r="C26" s="344" t="s">
        <v>267</v>
      </c>
      <c r="D26" s="126"/>
      <c r="E26" s="344" t="s">
        <v>50</v>
      </c>
      <c r="F26" s="347">
        <v>14.47</v>
      </c>
      <c r="G26" s="65">
        <f>VLOOKUP(A26,'Matrix KITA '!$A$2:$C$9,3,1)</f>
        <v>2</v>
      </c>
      <c r="H26" s="104">
        <f t="shared" si="4"/>
        <v>113.8789</v>
      </c>
      <c r="I26" s="352">
        <f>VLOOKUP(A26,'Matrix KITA '!$A$2:$C$9,2,1)</f>
        <v>0</v>
      </c>
      <c r="J26" s="104">
        <f t="shared" si="0"/>
        <v>0</v>
      </c>
      <c r="K26" s="66">
        <f>'StdVS Unterhaltsreinigung (UHR)'!$C$57</f>
        <v>0</v>
      </c>
      <c r="L26" s="105">
        <f t="shared" si="1"/>
        <v>0</v>
      </c>
      <c r="M26" s="105">
        <f t="shared" si="2"/>
        <v>0</v>
      </c>
      <c r="N26" s="110">
        <f t="shared" si="3"/>
        <v>0</v>
      </c>
      <c r="O26" s="3"/>
      <c r="P26" s="10"/>
      <c r="Q26" s="10"/>
      <c r="R26" s="10"/>
      <c r="S26" s="10"/>
      <c r="T26" s="1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</row>
    <row r="27" spans="1:154" ht="12.75">
      <c r="A27" s="180" t="s">
        <v>292</v>
      </c>
      <c r="B27" s="65" t="s">
        <v>258</v>
      </c>
      <c r="C27" s="344" t="s">
        <v>254</v>
      </c>
      <c r="D27" s="126"/>
      <c r="E27" s="344" t="s">
        <v>264</v>
      </c>
      <c r="F27" s="347">
        <v>13.33</v>
      </c>
      <c r="G27" s="65">
        <f>VLOOKUP(A27,'Matrix KITA '!$A$2:$C$9,3,1)</f>
        <v>5</v>
      </c>
      <c r="H27" s="104">
        <f t="shared" si="4"/>
        <v>262.2011</v>
      </c>
      <c r="I27" s="352">
        <f>VLOOKUP(A27,'Matrix KITA '!$A$2:$C$9,2,1)</f>
        <v>0</v>
      </c>
      <c r="J27" s="104">
        <f t="shared" si="0"/>
        <v>0</v>
      </c>
      <c r="K27" s="66">
        <f>'StdVS Unterhaltsreinigung (UHR)'!$C$57</f>
        <v>0</v>
      </c>
      <c r="L27" s="105">
        <f t="shared" si="1"/>
        <v>0</v>
      </c>
      <c r="M27" s="105">
        <f t="shared" si="2"/>
        <v>0</v>
      </c>
      <c r="N27" s="110">
        <f t="shared" si="3"/>
        <v>0</v>
      </c>
      <c r="O27" s="3"/>
      <c r="P27" s="10"/>
      <c r="Q27" s="10"/>
      <c r="R27" s="10"/>
      <c r="S27" s="10"/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</row>
    <row r="28" spans="1:154" ht="12.75">
      <c r="A28" s="180" t="s">
        <v>292</v>
      </c>
      <c r="B28" s="65" t="s">
        <v>258</v>
      </c>
      <c r="C28" s="344" t="s">
        <v>255</v>
      </c>
      <c r="D28" s="126"/>
      <c r="E28" s="344" t="s">
        <v>264</v>
      </c>
      <c r="F28" s="347">
        <v>1.9</v>
      </c>
      <c r="G28" s="65">
        <f>VLOOKUP(A28,'Matrix KITA '!$A$2:$C$9,3,1)</f>
        <v>5</v>
      </c>
      <c r="H28" s="104">
        <f t="shared" si="4"/>
        <v>37.373000000000005</v>
      </c>
      <c r="I28" s="352">
        <f>VLOOKUP(A28,'Matrix KITA '!$A$2:$C$9,2,1)</f>
        <v>0</v>
      </c>
      <c r="J28" s="104">
        <f t="shared" si="0"/>
        <v>0</v>
      </c>
      <c r="K28" s="66">
        <f>'StdVS Unterhaltsreinigung (UHR)'!$C$57</f>
        <v>0</v>
      </c>
      <c r="L28" s="105">
        <f t="shared" si="1"/>
        <v>0</v>
      </c>
      <c r="M28" s="105">
        <f t="shared" si="2"/>
        <v>0</v>
      </c>
      <c r="N28" s="110">
        <f t="shared" si="3"/>
        <v>0</v>
      </c>
      <c r="O28" s="3"/>
      <c r="P28" s="10"/>
      <c r="Q28" s="10"/>
      <c r="R28" s="10"/>
      <c r="S28" s="10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</row>
    <row r="29" spans="1:154" ht="21" customHeight="1">
      <c r="A29" s="180" t="s">
        <v>290</v>
      </c>
      <c r="B29" s="65" t="s">
        <v>258</v>
      </c>
      <c r="C29" s="344" t="s">
        <v>256</v>
      </c>
      <c r="D29" s="126"/>
      <c r="E29" s="344" t="s">
        <v>265</v>
      </c>
      <c r="F29" s="347">
        <v>32.18</v>
      </c>
      <c r="G29" s="65">
        <f>VLOOKUP(A29,'Matrix KITA '!$A$2:$C$9,3,1)</f>
        <v>5</v>
      </c>
      <c r="H29" s="104">
        <f t="shared" si="4"/>
        <v>632.9806000000001</v>
      </c>
      <c r="I29" s="352">
        <f>VLOOKUP(A29,'Matrix KITA '!$A$2:$C$9,2,1)</f>
        <v>0</v>
      </c>
      <c r="J29" s="104">
        <f t="shared" si="0"/>
        <v>0</v>
      </c>
      <c r="K29" s="66">
        <f>'StdVS Unterhaltsreinigung (UHR)'!$C$57</f>
        <v>0</v>
      </c>
      <c r="L29" s="105">
        <f t="shared" si="1"/>
        <v>0</v>
      </c>
      <c r="M29" s="105">
        <f t="shared" si="2"/>
        <v>0</v>
      </c>
      <c r="N29" s="110">
        <f t="shared" si="3"/>
        <v>0</v>
      </c>
      <c r="O29" s="3"/>
      <c r="P29" s="10"/>
      <c r="Q29" s="10"/>
      <c r="R29" s="10"/>
      <c r="S29" s="10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</row>
    <row r="30" spans="1:154" ht="13.5" customHeight="1">
      <c r="A30" s="180" t="s">
        <v>290</v>
      </c>
      <c r="B30" s="65" t="s">
        <v>258</v>
      </c>
      <c r="C30" s="344" t="s">
        <v>257</v>
      </c>
      <c r="D30" s="126"/>
      <c r="E30" s="344" t="s">
        <v>22</v>
      </c>
      <c r="F30" s="347">
        <v>4.77</v>
      </c>
      <c r="G30" s="352">
        <v>1</v>
      </c>
      <c r="H30" s="104">
        <f t="shared" si="4"/>
        <v>18.7461</v>
      </c>
      <c r="I30" s="352">
        <f>VLOOKUP(A30,'Matrix KITA '!$A$2:$C$9,2,1)</f>
        <v>0</v>
      </c>
      <c r="J30" s="104">
        <f t="shared" si="0"/>
        <v>0</v>
      </c>
      <c r="K30" s="66">
        <f>'StdVS Unterhaltsreinigung (UHR)'!$C$57</f>
        <v>0</v>
      </c>
      <c r="L30" s="105">
        <f t="shared" si="1"/>
        <v>0</v>
      </c>
      <c r="M30" s="105">
        <f t="shared" si="2"/>
        <v>0</v>
      </c>
      <c r="N30" s="110">
        <f t="shared" si="3"/>
        <v>0</v>
      </c>
      <c r="O30" s="3"/>
      <c r="P30" s="10"/>
      <c r="Q30" s="10"/>
      <c r="R30" s="10"/>
      <c r="S30" s="10"/>
      <c r="T30" s="1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</row>
    <row r="31" spans="1:154" ht="22.5">
      <c r="A31" s="180" t="s">
        <v>35</v>
      </c>
      <c r="B31" s="65" t="s">
        <v>551</v>
      </c>
      <c r="C31" s="344" t="s">
        <v>552</v>
      </c>
      <c r="D31" s="126"/>
      <c r="E31" s="344" t="s">
        <v>264</v>
      </c>
      <c r="F31" s="347">
        <v>14.23</v>
      </c>
      <c r="G31" s="65">
        <f>VLOOKUP(A31,'Matrix KITA '!$A$2:$C$9,3,1)</f>
        <v>2</v>
      </c>
      <c r="H31" s="104">
        <f t="shared" si="4"/>
        <v>111.9901</v>
      </c>
      <c r="I31" s="352">
        <f>VLOOKUP(A31,'Matrix KITA '!$A$2:$C$9,2,1)</f>
        <v>0</v>
      </c>
      <c r="J31" s="104">
        <f t="shared" si="0"/>
        <v>0</v>
      </c>
      <c r="K31" s="66">
        <f>'StdVS Unterhaltsreinigung (UHR)'!$C$57</f>
        <v>0</v>
      </c>
      <c r="L31" s="105">
        <f t="shared" si="1"/>
        <v>0</v>
      </c>
      <c r="M31" s="105">
        <f t="shared" si="2"/>
        <v>0</v>
      </c>
      <c r="N31" s="110">
        <f t="shared" si="3"/>
        <v>0</v>
      </c>
      <c r="O31" s="3"/>
      <c r="P31" s="10"/>
      <c r="Q31" s="10"/>
      <c r="R31" s="10"/>
      <c r="S31" s="10"/>
      <c r="T31" s="1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</row>
    <row r="32" spans="1:154" ht="12.75">
      <c r="A32" s="285" t="s">
        <v>294</v>
      </c>
      <c r="B32" s="65" t="s">
        <v>275</v>
      </c>
      <c r="C32" s="344" t="s">
        <v>268</v>
      </c>
      <c r="D32" s="126"/>
      <c r="E32" s="344" t="s">
        <v>276</v>
      </c>
      <c r="F32" s="347">
        <v>43</v>
      </c>
      <c r="G32" s="65">
        <f>VLOOKUP(A32,'Matrix KITA '!$A$2:$C$9,3,1)</f>
        <v>5</v>
      </c>
      <c r="H32" s="104">
        <f t="shared" si="4"/>
        <v>845.8100000000001</v>
      </c>
      <c r="I32" s="352">
        <f>VLOOKUP(A32,'Matrix KITA '!$A$2:$C$9,2,1)</f>
        <v>0</v>
      </c>
      <c r="J32" s="104">
        <f t="shared" si="0"/>
        <v>0</v>
      </c>
      <c r="K32" s="66">
        <f>'StdVS Unterhaltsreinigung (UHR)'!$C$57</f>
        <v>0</v>
      </c>
      <c r="L32" s="105">
        <f t="shared" si="1"/>
        <v>0</v>
      </c>
      <c r="M32" s="105">
        <f t="shared" si="2"/>
        <v>0</v>
      </c>
      <c r="N32" s="110">
        <f t="shared" si="3"/>
        <v>0</v>
      </c>
      <c r="O32" s="3"/>
      <c r="P32" s="10"/>
      <c r="Q32" s="10"/>
      <c r="R32" s="10"/>
      <c r="S32" s="10"/>
      <c r="T32" s="10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</row>
    <row r="33" spans="1:154" ht="12.75">
      <c r="A33" s="285" t="s">
        <v>294</v>
      </c>
      <c r="B33" s="65" t="s">
        <v>275</v>
      </c>
      <c r="C33" s="344" t="s">
        <v>269</v>
      </c>
      <c r="D33" s="126"/>
      <c r="E33" s="344" t="s">
        <v>276</v>
      </c>
      <c r="F33" s="347">
        <v>23</v>
      </c>
      <c r="G33" s="65">
        <f>VLOOKUP(A33,'Matrix KITA '!$A$2:$C$9,3,1)</f>
        <v>5</v>
      </c>
      <c r="H33" s="104">
        <f t="shared" si="4"/>
        <v>452.41</v>
      </c>
      <c r="I33" s="352">
        <f>VLOOKUP(A33,'Matrix KITA '!$A$2:$C$9,2,1)</f>
        <v>0</v>
      </c>
      <c r="J33" s="104">
        <f t="shared" si="0"/>
        <v>0</v>
      </c>
      <c r="K33" s="66">
        <f>'StdVS Unterhaltsreinigung (UHR)'!$C$57</f>
        <v>0</v>
      </c>
      <c r="L33" s="105">
        <f t="shared" si="1"/>
        <v>0</v>
      </c>
      <c r="M33" s="105">
        <f t="shared" si="2"/>
        <v>0</v>
      </c>
      <c r="N33" s="110">
        <f t="shared" si="3"/>
        <v>0</v>
      </c>
      <c r="O33" s="3"/>
      <c r="P33" s="10"/>
      <c r="Q33" s="10"/>
      <c r="R33" s="10"/>
      <c r="S33" s="10"/>
      <c r="T33" s="1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</row>
    <row r="34" spans="1:20" ht="12.75">
      <c r="A34" s="285" t="s">
        <v>294</v>
      </c>
      <c r="B34" s="65" t="s">
        <v>275</v>
      </c>
      <c r="C34" s="344" t="s">
        <v>270</v>
      </c>
      <c r="D34" s="126"/>
      <c r="E34" s="344" t="s">
        <v>276</v>
      </c>
      <c r="F34" s="347">
        <v>45</v>
      </c>
      <c r="G34" s="65">
        <f>VLOOKUP(A34,'Matrix KITA '!$A$2:$C$9,3,1)</f>
        <v>5</v>
      </c>
      <c r="H34" s="104">
        <f t="shared" si="4"/>
        <v>885.1500000000001</v>
      </c>
      <c r="I34" s="352">
        <f>VLOOKUP(A34,'Matrix KITA '!$A$2:$C$9,2,1)</f>
        <v>0</v>
      </c>
      <c r="J34" s="104">
        <f t="shared" si="0"/>
        <v>0</v>
      </c>
      <c r="K34" s="66">
        <f>'StdVS Unterhaltsreinigung (UHR)'!$C$57</f>
        <v>0</v>
      </c>
      <c r="L34" s="105">
        <f t="shared" si="1"/>
        <v>0</v>
      </c>
      <c r="M34" s="105">
        <f t="shared" si="2"/>
        <v>0</v>
      </c>
      <c r="N34" s="110">
        <f t="shared" si="3"/>
        <v>0</v>
      </c>
      <c r="P34" s="10"/>
      <c r="Q34" s="10"/>
      <c r="R34" s="10"/>
      <c r="S34" s="10"/>
      <c r="T34" s="10"/>
    </row>
    <row r="35" spans="1:20" ht="12.75">
      <c r="A35" s="285" t="s">
        <v>294</v>
      </c>
      <c r="B35" s="65" t="s">
        <v>275</v>
      </c>
      <c r="C35" s="344" t="s">
        <v>271</v>
      </c>
      <c r="D35" s="126"/>
      <c r="E35" s="344" t="s">
        <v>276</v>
      </c>
      <c r="F35" s="347">
        <v>23</v>
      </c>
      <c r="G35" s="65">
        <f>VLOOKUP(A35,'Matrix KITA '!$A$2:$C$9,3,1)</f>
        <v>5</v>
      </c>
      <c r="H35" s="104">
        <f t="shared" si="4"/>
        <v>452.41</v>
      </c>
      <c r="I35" s="352">
        <f>VLOOKUP(A35,'Matrix KITA '!$A$2:$C$9,2,1)</f>
        <v>0</v>
      </c>
      <c r="J35" s="104">
        <f t="shared" si="0"/>
        <v>0</v>
      </c>
      <c r="K35" s="66">
        <f>'StdVS Unterhaltsreinigung (UHR)'!$C$57</f>
        <v>0</v>
      </c>
      <c r="L35" s="105">
        <f t="shared" si="1"/>
        <v>0</v>
      </c>
      <c r="M35" s="105">
        <f t="shared" si="2"/>
        <v>0</v>
      </c>
      <c r="N35" s="110">
        <f t="shared" si="3"/>
        <v>0</v>
      </c>
      <c r="P35" s="10"/>
      <c r="Q35" s="10"/>
      <c r="R35" s="10"/>
      <c r="S35" s="10"/>
      <c r="T35" s="10"/>
    </row>
    <row r="36" spans="1:20" ht="12.75">
      <c r="A36" s="180" t="s">
        <v>292</v>
      </c>
      <c r="B36" s="65" t="s">
        <v>275</v>
      </c>
      <c r="C36" s="344" t="s">
        <v>272</v>
      </c>
      <c r="D36" s="126"/>
      <c r="E36" s="344" t="s">
        <v>264</v>
      </c>
      <c r="F36" s="347">
        <v>14</v>
      </c>
      <c r="G36" s="65">
        <f>VLOOKUP(A36,'Matrix KITA '!$A$2:$C$9,3,1)</f>
        <v>5</v>
      </c>
      <c r="H36" s="104">
        <f t="shared" si="4"/>
        <v>275.38</v>
      </c>
      <c r="I36" s="352">
        <f>VLOOKUP(A36,'Matrix KITA '!$A$2:$C$9,2,1)</f>
        <v>0</v>
      </c>
      <c r="J36" s="104">
        <f t="shared" si="0"/>
        <v>0</v>
      </c>
      <c r="K36" s="66">
        <f>'StdVS Unterhaltsreinigung (UHR)'!$C$57</f>
        <v>0</v>
      </c>
      <c r="L36" s="105">
        <f t="shared" si="1"/>
        <v>0</v>
      </c>
      <c r="M36" s="105">
        <f t="shared" si="2"/>
        <v>0</v>
      </c>
      <c r="N36" s="110">
        <f t="shared" si="3"/>
        <v>0</v>
      </c>
      <c r="P36" s="10"/>
      <c r="Q36" s="10"/>
      <c r="R36" s="10"/>
      <c r="S36" s="10"/>
      <c r="T36" s="10"/>
    </row>
    <row r="37" spans="1:20" ht="12.75">
      <c r="A37" s="285" t="s">
        <v>293</v>
      </c>
      <c r="B37" s="65" t="s">
        <v>275</v>
      </c>
      <c r="C37" s="344" t="s">
        <v>273</v>
      </c>
      <c r="D37" s="126"/>
      <c r="E37" s="344" t="s">
        <v>264</v>
      </c>
      <c r="F37" s="347">
        <v>2.88</v>
      </c>
      <c r="G37" s="65">
        <f>VLOOKUP(A37,'Matrix KITA '!$A$2:$C$9,3,1)</f>
        <v>5</v>
      </c>
      <c r="H37" s="104">
        <f t="shared" si="4"/>
        <v>56.6496</v>
      </c>
      <c r="I37" s="352">
        <f>VLOOKUP(A37,'Matrix KITA '!$A$2:$C$9,2,1)</f>
        <v>0</v>
      </c>
      <c r="J37" s="104">
        <f t="shared" si="0"/>
        <v>0</v>
      </c>
      <c r="K37" s="66">
        <f>'StdVS Unterhaltsreinigung (UHR)'!$C$57</f>
        <v>0</v>
      </c>
      <c r="L37" s="105">
        <f t="shared" si="1"/>
        <v>0</v>
      </c>
      <c r="M37" s="105">
        <f t="shared" si="2"/>
        <v>0</v>
      </c>
      <c r="N37" s="110">
        <f t="shared" si="3"/>
        <v>0</v>
      </c>
      <c r="P37" s="10"/>
      <c r="Q37" s="10"/>
      <c r="R37" s="10"/>
      <c r="S37" s="10"/>
      <c r="T37" s="10"/>
    </row>
    <row r="38" spans="1:20" ht="12.75">
      <c r="A38" s="285" t="s">
        <v>292</v>
      </c>
      <c r="B38" s="65" t="s">
        <v>275</v>
      </c>
      <c r="C38" s="344" t="s">
        <v>78</v>
      </c>
      <c r="D38" s="65"/>
      <c r="E38" s="344" t="s">
        <v>264</v>
      </c>
      <c r="F38" s="347">
        <v>5.11</v>
      </c>
      <c r="G38" s="65">
        <f>VLOOKUP(A38,'Matrix KITA '!$A$2:$C$9,3,1)</f>
        <v>5</v>
      </c>
      <c r="H38" s="104">
        <f t="shared" si="4"/>
        <v>100.51370000000001</v>
      </c>
      <c r="I38" s="352">
        <f>VLOOKUP(A38,'Matrix KITA '!$A$2:$C$9,2,1)</f>
        <v>0</v>
      </c>
      <c r="J38" s="104">
        <f t="shared" si="0"/>
        <v>0</v>
      </c>
      <c r="K38" s="66">
        <f>'StdVS Unterhaltsreinigung (UHR)'!$C$57</f>
        <v>0</v>
      </c>
      <c r="L38" s="105">
        <f t="shared" si="1"/>
        <v>0</v>
      </c>
      <c r="M38" s="105">
        <f t="shared" si="2"/>
        <v>0</v>
      </c>
      <c r="N38" s="110">
        <f t="shared" si="3"/>
        <v>0</v>
      </c>
      <c r="P38" s="10"/>
      <c r="Q38" s="10"/>
      <c r="R38" s="10"/>
      <c r="S38" s="10"/>
      <c r="T38" s="10"/>
    </row>
    <row r="39" spans="1:20" ht="12.75">
      <c r="A39" s="285" t="s">
        <v>297</v>
      </c>
      <c r="B39" s="65" t="s">
        <v>275</v>
      </c>
      <c r="C39" s="344" t="s">
        <v>274</v>
      </c>
      <c r="D39" s="126"/>
      <c r="E39" s="344" t="s">
        <v>264</v>
      </c>
      <c r="F39" s="347">
        <v>40</v>
      </c>
      <c r="G39" s="65">
        <f>VLOOKUP(A39,'Matrix KITA '!$A$2:$C$9,3,1)</f>
        <v>5</v>
      </c>
      <c r="H39" s="104">
        <f t="shared" si="4"/>
        <v>786.8000000000001</v>
      </c>
      <c r="I39" s="352">
        <f>VLOOKUP(A39,'Matrix KITA '!$A$2:$C$9,2,1)</f>
        <v>0</v>
      </c>
      <c r="J39" s="104">
        <f t="shared" si="0"/>
        <v>0</v>
      </c>
      <c r="K39" s="66">
        <f>'StdVS Unterhaltsreinigung (UHR)'!$C$57</f>
        <v>0</v>
      </c>
      <c r="L39" s="105">
        <f t="shared" si="1"/>
        <v>0</v>
      </c>
      <c r="M39" s="105">
        <f t="shared" si="2"/>
        <v>0</v>
      </c>
      <c r="N39" s="110">
        <f t="shared" si="3"/>
        <v>0</v>
      </c>
      <c r="P39" s="10"/>
      <c r="Q39" s="10"/>
      <c r="R39" s="10"/>
      <c r="S39" s="10"/>
      <c r="T39" s="10"/>
    </row>
    <row r="40" spans="1:20" ht="12.75">
      <c r="A40" s="285" t="s">
        <v>294</v>
      </c>
      <c r="B40" s="65" t="s">
        <v>288</v>
      </c>
      <c r="C40" s="344" t="s">
        <v>285</v>
      </c>
      <c r="D40" s="126"/>
      <c r="E40" s="344" t="s">
        <v>276</v>
      </c>
      <c r="F40" s="347">
        <v>42.83</v>
      </c>
      <c r="G40" s="65">
        <f>VLOOKUP(A40,'Matrix KITA '!$A$2:$C$9,3,1)</f>
        <v>5</v>
      </c>
      <c r="H40" s="104">
        <f t="shared" si="4"/>
        <v>842.4661</v>
      </c>
      <c r="I40" s="352">
        <f>VLOOKUP(A40,'Matrix KITA '!$A$2:$C$9,2,1)</f>
        <v>0</v>
      </c>
      <c r="J40" s="104">
        <f t="shared" si="0"/>
        <v>0</v>
      </c>
      <c r="K40" s="66">
        <f>'StdVS Unterhaltsreinigung (UHR)'!$C$57</f>
        <v>0</v>
      </c>
      <c r="L40" s="105">
        <f t="shared" si="1"/>
        <v>0</v>
      </c>
      <c r="M40" s="105">
        <f t="shared" si="2"/>
        <v>0</v>
      </c>
      <c r="N40" s="110">
        <f t="shared" si="3"/>
        <v>0</v>
      </c>
      <c r="P40" s="10"/>
      <c r="Q40" s="10"/>
      <c r="R40" s="10"/>
      <c r="S40" s="10"/>
      <c r="T40" s="10"/>
    </row>
    <row r="41" spans="1:20" ht="12.75">
      <c r="A41" s="285" t="s">
        <v>292</v>
      </c>
      <c r="B41" s="65" t="s">
        <v>288</v>
      </c>
      <c r="C41" s="344" t="s">
        <v>286</v>
      </c>
      <c r="D41" s="126"/>
      <c r="E41" s="344" t="s">
        <v>264</v>
      </c>
      <c r="F41" s="347">
        <v>8.49</v>
      </c>
      <c r="G41" s="65">
        <f>VLOOKUP(A41,'Matrix KITA '!$A$2:$C$9,3,1)</f>
        <v>5</v>
      </c>
      <c r="H41" s="104">
        <f t="shared" si="4"/>
        <v>166.99830000000003</v>
      </c>
      <c r="I41" s="352">
        <f>VLOOKUP(A41,'Matrix KITA '!$A$2:$C$9,2,1)</f>
        <v>0</v>
      </c>
      <c r="J41" s="104">
        <f t="shared" si="0"/>
        <v>0</v>
      </c>
      <c r="K41" s="66">
        <f>'StdVS Unterhaltsreinigung (UHR)'!$C$57</f>
        <v>0</v>
      </c>
      <c r="L41" s="105">
        <f t="shared" si="1"/>
        <v>0</v>
      </c>
      <c r="M41" s="105">
        <f t="shared" si="2"/>
        <v>0</v>
      </c>
      <c r="N41" s="110">
        <f t="shared" si="3"/>
        <v>0</v>
      </c>
      <c r="P41" s="10"/>
      <c r="Q41" s="10"/>
      <c r="R41" s="10"/>
      <c r="S41" s="10"/>
      <c r="T41" s="10"/>
    </row>
    <row r="42" spans="1:20" ht="12.75">
      <c r="A42" s="285" t="s">
        <v>297</v>
      </c>
      <c r="B42" s="65" t="s">
        <v>288</v>
      </c>
      <c r="C42" s="344" t="s">
        <v>40</v>
      </c>
      <c r="D42" s="126"/>
      <c r="E42" s="344" t="s">
        <v>264</v>
      </c>
      <c r="F42" s="347">
        <v>22.7</v>
      </c>
      <c r="G42" s="65">
        <f>VLOOKUP(A42,'Matrix KITA '!$A$2:$C$9,3,1)</f>
        <v>5</v>
      </c>
      <c r="H42" s="104">
        <f t="shared" si="4"/>
        <v>446.509</v>
      </c>
      <c r="I42" s="352">
        <f>VLOOKUP(A42,'Matrix KITA '!$A$2:$C$9,2,1)</f>
        <v>0</v>
      </c>
      <c r="J42" s="104">
        <f t="shared" si="0"/>
        <v>0</v>
      </c>
      <c r="K42" s="66">
        <f>'StdVS Unterhaltsreinigung (UHR)'!$C$57</f>
        <v>0</v>
      </c>
      <c r="L42" s="105">
        <f t="shared" si="1"/>
        <v>0</v>
      </c>
      <c r="M42" s="105">
        <f t="shared" si="2"/>
        <v>0</v>
      </c>
      <c r="N42" s="110">
        <f t="shared" si="3"/>
        <v>0</v>
      </c>
      <c r="P42" s="10"/>
      <c r="Q42" s="10"/>
      <c r="R42" s="10"/>
      <c r="S42" s="10"/>
      <c r="T42" s="10"/>
    </row>
    <row r="43" spans="1:20" ht="12.75">
      <c r="A43" s="285" t="s">
        <v>293</v>
      </c>
      <c r="B43" s="65" t="s">
        <v>288</v>
      </c>
      <c r="C43" s="344" t="s">
        <v>201</v>
      </c>
      <c r="D43" s="126"/>
      <c r="E43" s="344" t="s">
        <v>276</v>
      </c>
      <c r="F43" s="347">
        <v>34.91</v>
      </c>
      <c r="G43" s="65">
        <f>VLOOKUP(A43,'Matrix KITA '!$A$2:$C$9,3,1)</f>
        <v>5</v>
      </c>
      <c r="H43" s="104">
        <f t="shared" si="4"/>
        <v>686.6797</v>
      </c>
      <c r="I43" s="352">
        <f>VLOOKUP(A43,'Matrix KITA '!$A$2:$C$9,2,1)</f>
        <v>0</v>
      </c>
      <c r="J43" s="104">
        <f t="shared" si="0"/>
        <v>0</v>
      </c>
      <c r="K43" s="66">
        <f>'StdVS Unterhaltsreinigung (UHR)'!$C$57</f>
        <v>0</v>
      </c>
      <c r="L43" s="105">
        <f t="shared" si="1"/>
        <v>0</v>
      </c>
      <c r="M43" s="105">
        <f t="shared" si="2"/>
        <v>0</v>
      </c>
      <c r="N43" s="110">
        <f t="shared" si="3"/>
        <v>0</v>
      </c>
      <c r="P43" s="10"/>
      <c r="Q43" s="10"/>
      <c r="R43" s="10"/>
      <c r="S43" s="10"/>
      <c r="T43" s="10"/>
    </row>
    <row r="44" spans="1:20" ht="13.5" thickBot="1">
      <c r="A44" s="569" t="s">
        <v>292</v>
      </c>
      <c r="B44" s="89" t="s">
        <v>288</v>
      </c>
      <c r="C44" s="558" t="s">
        <v>287</v>
      </c>
      <c r="D44" s="554"/>
      <c r="E44" s="558" t="s">
        <v>264</v>
      </c>
      <c r="F44" s="349">
        <v>9.83</v>
      </c>
      <c r="G44" s="565">
        <v>3</v>
      </c>
      <c r="H44" s="111">
        <f t="shared" si="4"/>
        <v>115.89569999999999</v>
      </c>
      <c r="I44" s="565">
        <f>VLOOKUP(A44,'Matrix KITA '!$A$2:$C$9,2,1)</f>
        <v>0</v>
      </c>
      <c r="J44" s="111">
        <f t="shared" si="0"/>
        <v>0</v>
      </c>
      <c r="K44" s="557">
        <f>'StdVS Unterhaltsreinigung (UHR)'!$C$57</f>
        <v>0</v>
      </c>
      <c r="L44" s="112">
        <f t="shared" si="1"/>
        <v>0</v>
      </c>
      <c r="M44" s="112">
        <f t="shared" si="2"/>
        <v>0</v>
      </c>
      <c r="N44" s="113">
        <f t="shared" si="3"/>
        <v>0</v>
      </c>
      <c r="P44" s="10"/>
      <c r="Q44" s="10"/>
      <c r="R44" s="10"/>
      <c r="S44" s="10"/>
      <c r="T44" s="10"/>
    </row>
    <row r="45" spans="1:20" ht="13.5" thickBot="1">
      <c r="A45" s="99" t="s">
        <v>48</v>
      </c>
      <c r="B45" s="37"/>
      <c r="C45" s="35"/>
      <c r="D45" s="79"/>
      <c r="E45" s="35"/>
      <c r="F45" s="36">
        <f>SUM(F8:F44)</f>
        <v>873.4300000000001</v>
      </c>
      <c r="G45" s="119"/>
      <c r="H45" s="115">
        <f>SUM(H8:H44)</f>
        <v>14492.6587</v>
      </c>
      <c r="I45" s="102" t="e">
        <f>H45/J45</f>
        <v>#DIV/0!</v>
      </c>
      <c r="J45" s="101">
        <f>SUM(J8:J44)</f>
        <v>0</v>
      </c>
      <c r="K45" s="67" t="s">
        <v>8</v>
      </c>
      <c r="L45" s="68">
        <f>SUM(L8:L44)</f>
        <v>0</v>
      </c>
      <c r="M45" s="68">
        <f t="shared" si="2"/>
        <v>0</v>
      </c>
      <c r="N45" s="103">
        <f>L45/H45</f>
        <v>0</v>
      </c>
      <c r="P45" s="10"/>
      <c r="Q45" s="10"/>
      <c r="R45" s="10"/>
      <c r="S45" s="10"/>
      <c r="T45" s="10"/>
    </row>
    <row r="46" spans="2:20" ht="27" customHeight="1" thickBot="1">
      <c r="B46" s="8"/>
      <c r="D46" s="4"/>
      <c r="F46" s="80"/>
      <c r="G46" s="120"/>
      <c r="H46" s="4"/>
      <c r="I46" s="116" t="s">
        <v>58</v>
      </c>
      <c r="K46" s="67" t="s">
        <v>7</v>
      </c>
      <c r="L46" s="68">
        <f>SUM(L45*0.19)</f>
        <v>0</v>
      </c>
      <c r="M46" s="68">
        <f>SUM(M45*0.19)</f>
        <v>0</v>
      </c>
      <c r="P46" s="10"/>
      <c r="Q46" s="10"/>
      <c r="R46" s="10"/>
      <c r="S46" s="10"/>
      <c r="T46" s="10"/>
    </row>
    <row r="47" spans="1:16" ht="15.75" customHeight="1" thickBot="1">
      <c r="A47" s="38"/>
      <c r="B47" s="540"/>
      <c r="C47" s="540"/>
      <c r="D47" s="4"/>
      <c r="F47" s="80"/>
      <c r="G47" s="41"/>
      <c r="H47" s="59"/>
      <c r="I47" s="41"/>
      <c r="J47" s="41"/>
      <c r="K47" s="62" t="s">
        <v>9</v>
      </c>
      <c r="L47" s="61">
        <f>SUM(L46+L45)</f>
        <v>0</v>
      </c>
      <c r="M47" s="61">
        <f>SUM(M46+M45)</f>
        <v>0</v>
      </c>
      <c r="N47" s="60"/>
      <c r="O47" s="34"/>
      <c r="P47" s="10"/>
    </row>
    <row r="48" spans="2:20" ht="12.75">
      <c r="B48" s="1"/>
      <c r="D48" s="4"/>
      <c r="F48" s="80"/>
      <c r="G48" s="120"/>
      <c r="H48" s="4"/>
      <c r="I48"/>
      <c r="K48" s="14"/>
      <c r="L48" s="23"/>
      <c r="M48" s="23"/>
      <c r="N48" s="24"/>
      <c r="P48" s="10"/>
      <c r="Q48" s="10"/>
      <c r="R48" s="10"/>
      <c r="S48" s="10"/>
      <c r="T48" s="10"/>
    </row>
    <row r="49" spans="1:20" ht="15">
      <c r="A49" s="69"/>
      <c r="B49" s="27"/>
      <c r="D49" s="4"/>
      <c r="F49" s="80"/>
      <c r="G49" s="120"/>
      <c r="H49" s="4"/>
      <c r="I49"/>
      <c r="K49" s="14"/>
      <c r="P49" s="10"/>
      <c r="Q49" s="10"/>
      <c r="R49" s="10"/>
      <c r="S49" s="10"/>
      <c r="T49" s="10"/>
    </row>
    <row r="50" spans="1:20" ht="12.75">
      <c r="A50" s="1"/>
      <c r="B50" s="27"/>
      <c r="D50" s="4"/>
      <c r="F50" s="80"/>
      <c r="G50" s="120"/>
      <c r="H50" s="18"/>
      <c r="I50" s="10"/>
      <c r="J50" s="10"/>
      <c r="K50" s="10"/>
      <c r="L50" s="17"/>
      <c r="M50" s="10"/>
      <c r="P50" s="10"/>
      <c r="Q50" s="10"/>
      <c r="R50" s="10"/>
      <c r="S50" s="10"/>
      <c r="T50" s="10"/>
    </row>
    <row r="51" spans="6:20" ht="12.75">
      <c r="F51" s="80"/>
      <c r="I51"/>
      <c r="P51" s="10"/>
      <c r="Q51" s="10"/>
      <c r="R51" s="10"/>
      <c r="S51" s="10"/>
      <c r="T51" s="10"/>
    </row>
    <row r="52" spans="6:20" ht="12.75">
      <c r="F52" s="80"/>
      <c r="I52"/>
      <c r="P52" s="10"/>
      <c r="Q52" s="10"/>
      <c r="R52" s="10"/>
      <c r="S52" s="10"/>
      <c r="T52" s="10"/>
    </row>
    <row r="53" spans="1:20" ht="12.75">
      <c r="A53" s="10"/>
      <c r="B53" s="10"/>
      <c r="C53" s="10"/>
      <c r="D53" s="10"/>
      <c r="E53" s="10"/>
      <c r="F53" s="10"/>
      <c r="G53" s="122"/>
      <c r="H53" s="10"/>
      <c r="I53" s="17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</sheetData>
  <sheetProtection password="CC4A" sheet="1" selectLockedCells="1" sort="0" selectUnlockedCells="1"/>
  <protectedRanges>
    <protectedRange sqref="A7" name="Bereich1_1_1_1"/>
  </protectedRanges>
  <mergeCells count="7">
    <mergeCell ref="A6:A7"/>
    <mergeCell ref="N6:N7"/>
    <mergeCell ref="J6:J7"/>
    <mergeCell ref="K6:K7"/>
    <mergeCell ref="L6:L7"/>
    <mergeCell ref="M6:M7"/>
    <mergeCell ref="H6:H7"/>
  </mergeCells>
  <dataValidations count="2">
    <dataValidation type="list" allowBlank="1" sqref="C19:C44">
      <formula1>"Büro,Foyer,Besprechung,Kasse,Beh.WC,WC-D,WC-H,Abstellr.,Kassenhalle,Treppenhaus,Empfang"</formula1>
    </dataValidation>
    <dataValidation type="list" allowBlank="1" sqref="B19:B44">
      <formula1>" 1.UG, 2.UG,0.EG,1.OG,2.OG,3.OG,4.OG,5.OG"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1"/>
  <headerFooter alignWithMargins="0">
    <oddHeader>&amp;LGemeinde Gingen a.d.F.&amp;C&amp;A&amp;REU-Ausschreibung Gebäudereinigung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5F922"/>
  </sheetPr>
  <dimension ref="A1:G26"/>
  <sheetViews>
    <sheetView zoomScale="90" zoomScaleNormal="90" workbookViewId="0" topLeftCell="A1">
      <selection activeCell="A32" sqref="A32"/>
    </sheetView>
  </sheetViews>
  <sheetFormatPr defaultColWidth="11.421875" defaultRowHeight="12.75"/>
  <cols>
    <col min="1" max="1" width="77.421875" style="0" customWidth="1"/>
    <col min="2" max="3" width="11.28125" style="0" customWidth="1"/>
    <col min="4" max="4" width="12.140625" style="0" customWidth="1"/>
    <col min="5" max="5" width="12.00390625" style="0" customWidth="1"/>
    <col min="6" max="6" width="13.57421875" style="0" customWidth="1"/>
    <col min="7" max="7" width="13.00390625" style="0" customWidth="1"/>
  </cols>
  <sheetData>
    <row r="1" spans="1:3" ht="30.75" customHeight="1" thickBot="1">
      <c r="A1" s="83" t="s">
        <v>296</v>
      </c>
      <c r="B1" s="51" t="s">
        <v>12</v>
      </c>
      <c r="C1" s="412" t="s">
        <v>433</v>
      </c>
    </row>
    <row r="2" spans="1:4" s="9" customFormat="1" ht="12.75">
      <c r="A2" s="430" t="s">
        <v>294</v>
      </c>
      <c r="B2" s="263"/>
      <c r="C2" s="118">
        <v>5</v>
      </c>
      <c r="D2" s="361" t="s">
        <v>291</v>
      </c>
    </row>
    <row r="3" spans="1:4" s="9" customFormat="1" ht="12.75">
      <c r="A3" s="285" t="s">
        <v>43</v>
      </c>
      <c r="B3" s="181"/>
      <c r="C3" s="54">
        <v>2</v>
      </c>
      <c r="D3" s="71"/>
    </row>
    <row r="4" spans="1:6" s="9" customFormat="1" ht="15" customHeight="1">
      <c r="A4" s="524" t="s">
        <v>297</v>
      </c>
      <c r="B4" s="522"/>
      <c r="C4" s="54">
        <v>5</v>
      </c>
      <c r="D4" s="71"/>
      <c r="F4" s="520"/>
    </row>
    <row r="5" spans="1:4" s="9" customFormat="1" ht="12.75">
      <c r="A5" s="285" t="s">
        <v>35</v>
      </c>
      <c r="B5" s="181"/>
      <c r="C5" s="54">
        <v>2</v>
      </c>
      <c r="D5" s="71"/>
    </row>
    <row r="6" spans="1:4" s="9" customFormat="1" ht="12.75">
      <c r="A6" s="285" t="s">
        <v>292</v>
      </c>
      <c r="B6" s="181"/>
      <c r="C6" s="54">
        <v>5</v>
      </c>
      <c r="D6" s="46"/>
    </row>
    <row r="7" spans="1:4" s="9" customFormat="1" ht="12.75">
      <c r="A7" s="285" t="s">
        <v>293</v>
      </c>
      <c r="B7" s="181"/>
      <c r="C7" s="54">
        <v>5</v>
      </c>
      <c r="D7" s="72"/>
    </row>
    <row r="8" spans="1:4" s="9" customFormat="1" ht="12.75">
      <c r="A8" s="285" t="s">
        <v>290</v>
      </c>
      <c r="B8" s="181"/>
      <c r="C8" s="54">
        <v>5</v>
      </c>
      <c r="D8" s="46"/>
    </row>
    <row r="9" spans="1:4" s="9" customFormat="1" ht="13.5" thickBot="1">
      <c r="A9" s="431" t="s">
        <v>289</v>
      </c>
      <c r="B9" s="283"/>
      <c r="C9" s="387">
        <v>5</v>
      </c>
      <c r="D9" s="46"/>
    </row>
    <row r="10" spans="1:5" s="9" customFormat="1" ht="15.75" customHeight="1">
      <c r="A10" s="10"/>
      <c r="B10" s="428"/>
      <c r="C10" s="429"/>
      <c r="D10" s="362"/>
      <c r="E10" s="363"/>
    </row>
    <row r="11" spans="1:7" s="9" customFormat="1" ht="12" customHeight="1">
      <c r="A11" s="11"/>
      <c r="B11" s="20"/>
      <c r="C11" s="20"/>
      <c r="D11" s="25"/>
      <c r="F11" s="11"/>
      <c r="G11" s="11"/>
    </row>
    <row r="12" spans="1:7" ht="18.75" thickBot="1">
      <c r="A12" s="123" t="s">
        <v>27</v>
      </c>
      <c r="B12" s="11"/>
      <c r="C12" s="3"/>
      <c r="D12" s="3"/>
      <c r="E12" s="3"/>
      <c r="F12" s="3"/>
      <c r="G12" s="11"/>
    </row>
    <row r="13" spans="1:7" ht="42.75">
      <c r="A13" s="425" t="s">
        <v>428</v>
      </c>
      <c r="B13" s="619" t="s">
        <v>19</v>
      </c>
      <c r="C13" s="332" t="s">
        <v>76</v>
      </c>
      <c r="D13" s="150" t="s">
        <v>17</v>
      </c>
      <c r="E13" s="150" t="s">
        <v>55</v>
      </c>
      <c r="F13" s="151" t="s">
        <v>56</v>
      </c>
      <c r="G13" s="10"/>
    </row>
    <row r="14" spans="1:7" ht="16.5" customHeight="1">
      <c r="A14" s="617" t="s">
        <v>439</v>
      </c>
      <c r="B14" s="135">
        <v>327.52</v>
      </c>
      <c r="C14" s="304"/>
      <c r="D14" s="303" t="e">
        <f>('StdVS Grundreinigung'!C58)/C14</f>
        <v>#DIV/0!</v>
      </c>
      <c r="E14" s="423" t="e">
        <f>B14*D14</f>
        <v>#DIV/0!</v>
      </c>
      <c r="F14" s="620" t="e">
        <f>E14*1.19</f>
        <v>#DIV/0!</v>
      </c>
      <c r="G14" s="10"/>
    </row>
    <row r="15" spans="1:7" ht="12.75">
      <c r="A15" s="617" t="s">
        <v>440</v>
      </c>
      <c r="B15" s="135">
        <v>244.87</v>
      </c>
      <c r="C15" s="304"/>
      <c r="D15" s="303" t="e">
        <f>('StdVS Grundreinigung'!C58)/C15</f>
        <v>#DIV/0!</v>
      </c>
      <c r="E15" s="423" t="e">
        <f>B15*D15</f>
        <v>#DIV/0!</v>
      </c>
      <c r="F15" s="620" t="e">
        <f>E15*1.19</f>
        <v>#DIV/0!</v>
      </c>
      <c r="G15" s="10"/>
    </row>
    <row r="16" spans="1:7" ht="13.5" thickBot="1">
      <c r="A16" s="617" t="s">
        <v>448</v>
      </c>
      <c r="B16" s="626">
        <v>301.04</v>
      </c>
      <c r="C16" s="266"/>
      <c r="D16" s="267" t="e">
        <f>('StdVS Grundreinigung'!C58)/C16</f>
        <v>#DIV/0!</v>
      </c>
      <c r="E16" s="627" t="e">
        <f>B16*D16</f>
        <v>#DIV/0!</v>
      </c>
      <c r="F16" s="628" t="e">
        <f>E16*1.19</f>
        <v>#DIV/0!</v>
      </c>
      <c r="G16" s="10"/>
    </row>
    <row r="17" spans="1:7" ht="13.5" thickBot="1">
      <c r="A17" s="418" t="s">
        <v>438</v>
      </c>
      <c r="B17" s="419">
        <f>B14+B15+B16</f>
        <v>873.4300000000001</v>
      </c>
      <c r="C17" s="420" t="s">
        <v>57</v>
      </c>
      <c r="D17" s="420" t="s">
        <v>39</v>
      </c>
      <c r="E17" s="421" t="e">
        <f>SUM(E14:E16)</f>
        <v>#DIV/0!</v>
      </c>
      <c r="F17" s="290" t="e">
        <f>SUM(F14:F16)</f>
        <v>#DIV/0!</v>
      </c>
      <c r="G17" s="10"/>
    </row>
    <row r="18" spans="1:7" ht="12.75">
      <c r="A18" s="1" t="s">
        <v>457</v>
      </c>
      <c r="B18" s="81"/>
      <c r="C18" s="82"/>
      <c r="D18" s="73"/>
      <c r="E18" s="74"/>
      <c r="F18" s="74"/>
      <c r="G18" s="10"/>
    </row>
    <row r="19" spans="1:7" ht="12.75">
      <c r="A19" s="1" t="s">
        <v>549</v>
      </c>
      <c r="B19" s="81"/>
      <c r="C19" s="82"/>
      <c r="D19" s="73"/>
      <c r="E19" s="74"/>
      <c r="F19" s="74"/>
      <c r="G19" s="10"/>
    </row>
    <row r="20" spans="1:7" ht="12.75">
      <c r="A20" s="1"/>
      <c r="B20" s="81"/>
      <c r="G20" s="10"/>
    </row>
    <row r="21" spans="1:7" ht="12.75">
      <c r="A21" s="1"/>
      <c r="G21" s="10"/>
    </row>
    <row r="22" spans="1:7" ht="18.75" thickBot="1">
      <c r="A22" s="297" t="s">
        <v>138</v>
      </c>
      <c r="B22" s="11"/>
      <c r="F22" s="45"/>
      <c r="G22" s="3"/>
    </row>
    <row r="23" spans="1:7" ht="25.5">
      <c r="A23" s="434" t="s">
        <v>428</v>
      </c>
      <c r="B23" s="417" t="s">
        <v>19</v>
      </c>
      <c r="C23" s="153" t="s">
        <v>76</v>
      </c>
      <c r="D23" s="152" t="s">
        <v>73</v>
      </c>
      <c r="E23" s="152" t="s">
        <v>55</v>
      </c>
      <c r="F23" s="155" t="s">
        <v>56</v>
      </c>
      <c r="G23" s="10"/>
    </row>
    <row r="24" spans="1:7" ht="14.25" customHeight="1">
      <c r="A24" s="409" t="s">
        <v>450</v>
      </c>
      <c r="B24" s="432">
        <v>322.31</v>
      </c>
      <c r="C24" s="301"/>
      <c r="D24" s="303" t="e">
        <f>('StdVS Glas-und Fensterreinigung'!C57)/C24</f>
        <v>#DIV/0!</v>
      </c>
      <c r="E24" s="125" t="e">
        <f>B24*D24</f>
        <v>#DIV/0!</v>
      </c>
      <c r="F24" s="136" t="e">
        <f>E24*1.19</f>
        <v>#DIV/0!</v>
      </c>
      <c r="G24" s="10"/>
    </row>
    <row r="25" spans="1:7" ht="14.25" customHeight="1" thickBot="1">
      <c r="A25" s="410" t="s">
        <v>62</v>
      </c>
      <c r="B25" s="407" t="s">
        <v>57</v>
      </c>
      <c r="C25" s="156" t="s">
        <v>57</v>
      </c>
      <c r="D25" s="156" t="s">
        <v>39</v>
      </c>
      <c r="E25" s="157"/>
      <c r="F25" s="158">
        <f>E25*1.19</f>
        <v>0</v>
      </c>
      <c r="G25" s="10"/>
    </row>
    <row r="26" spans="1:6" ht="15.75" customHeight="1" thickBot="1">
      <c r="A26" s="411" t="s">
        <v>437</v>
      </c>
      <c r="B26" s="433">
        <f>SUM(B24:B25)</f>
        <v>322.31</v>
      </c>
      <c r="C26" s="165"/>
      <c r="D26" s="160" t="s">
        <v>39</v>
      </c>
      <c r="E26" s="47" t="e">
        <f>SUM(E24:E25)</f>
        <v>#DIV/0!</v>
      </c>
      <c r="F26" s="48" t="e">
        <f>SUM(F24:F25)</f>
        <v>#DIV/0!</v>
      </c>
    </row>
  </sheetData>
  <sheetProtection selectLockedCells="1"/>
  <protectedRanges>
    <protectedRange sqref="D26" name="Bereich1_1_1"/>
    <protectedRange sqref="A26" name="Bereich1_1_2_1_1"/>
    <protectedRange sqref="D25" name="Bereich1_1_2_3"/>
    <protectedRange sqref="E25" name="Bereich1_1_1_1_1_1_1"/>
    <protectedRange sqref="A25:C25" name="Bereich1_1_2_2_1"/>
    <protectedRange sqref="D24" name="Bereich1_2_1"/>
    <protectedRange sqref="D18:F19 D12:F16" name="Bereich1_2_2"/>
    <protectedRange sqref="D17" name="Bereich1_1_2"/>
    <protectedRange sqref="A17:C17" name="Bereich1_1_2_1"/>
    <protectedRange sqref="A14:A16" name="Bereich1_1_1_2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3"/>
  <headerFooter alignWithMargins="0">
    <oddHeader>&amp;LGemeinde Gingen a.d.F.&amp;C&amp;A&amp;REU-Ausschreibung Gebäudereinigung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48"/>
  <sheetViews>
    <sheetView zoomScale="90" zoomScaleNormal="90" zoomScaleSheetLayoutView="100" workbookViewId="0" topLeftCell="A1">
      <selection activeCell="A42" sqref="A42"/>
    </sheetView>
  </sheetViews>
  <sheetFormatPr defaultColWidth="11.421875" defaultRowHeight="12.75"/>
  <cols>
    <col min="1" max="1" width="54.140625" style="0" customWidth="1"/>
    <col min="2" max="2" width="22.57421875" style="0" customWidth="1"/>
    <col min="3" max="3" width="26.140625" style="0" customWidth="1"/>
    <col min="4" max="4" width="12.7109375" style="0" hidden="1" customWidth="1"/>
    <col min="5" max="5" width="15.8515625" style="0" customWidth="1"/>
    <col min="6" max="6" width="7.28125" style="0" hidden="1" customWidth="1"/>
    <col min="7" max="7" width="6.7109375" style="0" hidden="1" customWidth="1"/>
    <col min="8" max="8" width="9.8515625" style="0" customWidth="1"/>
    <col min="9" max="9" width="10.00390625" style="4" customWidth="1"/>
    <col min="10" max="10" width="10.00390625" style="0" customWidth="1"/>
    <col min="11" max="11" width="10.28125" style="4" customWidth="1"/>
    <col min="12" max="12" width="10.57421875" style="0" customWidth="1"/>
    <col min="13" max="13" width="13.421875" style="0" customWidth="1"/>
    <col min="14" max="14" width="13.7109375" style="0" customWidth="1"/>
    <col min="15" max="15" width="15.00390625" style="0" customWidth="1"/>
    <col min="16" max="16" width="13.00390625" style="0" customWidth="1"/>
    <col min="17" max="17" width="10.7109375" style="0" customWidth="1"/>
  </cols>
  <sheetData>
    <row r="1" spans="1:22" ht="12.75">
      <c r="A1" s="1" t="s">
        <v>10</v>
      </c>
      <c r="B1" s="27" t="s">
        <v>64</v>
      </c>
      <c r="D1" s="5"/>
      <c r="H1" s="5"/>
      <c r="I1" s="3"/>
      <c r="J1" s="4"/>
      <c r="K1"/>
      <c r="R1" s="10"/>
      <c r="S1" s="10"/>
      <c r="T1" s="10"/>
      <c r="U1" s="10"/>
      <c r="V1" s="10"/>
    </row>
    <row r="2" spans="1:22" ht="12.75">
      <c r="A2" s="1" t="s">
        <v>34</v>
      </c>
      <c r="B2" s="27" t="s">
        <v>534</v>
      </c>
      <c r="C2" s="41"/>
      <c r="D2" s="63"/>
      <c r="H2" s="5"/>
      <c r="I2" s="3"/>
      <c r="J2" s="4"/>
      <c r="K2"/>
      <c r="R2" s="10"/>
      <c r="S2" s="10"/>
      <c r="T2" s="10"/>
      <c r="U2" s="10"/>
      <c r="V2" s="10"/>
    </row>
    <row r="3" spans="1:22" ht="12.75">
      <c r="A3" s="1" t="s">
        <v>23</v>
      </c>
      <c r="B3" s="27" t="s">
        <v>545</v>
      </c>
      <c r="C3" s="41"/>
      <c r="D3" s="5"/>
      <c r="H3" s="5"/>
      <c r="I3" s="3"/>
      <c r="J3" s="4"/>
      <c r="K3"/>
      <c r="R3" s="10"/>
      <c r="S3" s="10"/>
      <c r="T3" s="10"/>
      <c r="U3" s="10"/>
      <c r="V3" s="10"/>
    </row>
    <row r="4" spans="1:22" ht="17.25">
      <c r="A4" s="1" t="s">
        <v>29</v>
      </c>
      <c r="B4" s="87"/>
      <c r="C4" s="78"/>
      <c r="D4" s="17"/>
      <c r="E4" s="9"/>
      <c r="F4" s="9"/>
      <c r="G4" s="9"/>
      <c r="H4" s="5"/>
      <c r="I4" s="3"/>
      <c r="J4" s="4"/>
      <c r="K4"/>
      <c r="R4" s="10"/>
      <c r="S4" s="10"/>
      <c r="T4" s="10"/>
      <c r="U4" s="10"/>
      <c r="V4" s="10"/>
    </row>
    <row r="5" spans="1:22" ht="15" thickBot="1">
      <c r="A5" s="1" t="s">
        <v>11</v>
      </c>
      <c r="B5" s="77">
        <v>252</v>
      </c>
      <c r="C5" s="85"/>
      <c r="D5" s="84" t="s">
        <v>24</v>
      </c>
      <c r="E5" s="9"/>
      <c r="F5" s="363" t="s">
        <v>375</v>
      </c>
      <c r="G5" s="363"/>
      <c r="H5" s="519"/>
      <c r="I5" s="519"/>
      <c r="J5" s="519"/>
      <c r="K5" s="519"/>
      <c r="P5" s="2"/>
      <c r="R5" s="10"/>
      <c r="S5" s="10"/>
      <c r="T5" s="10"/>
      <c r="U5" s="10"/>
      <c r="V5" s="10"/>
    </row>
    <row r="6" spans="1:22" ht="20.25">
      <c r="A6" s="684" t="s">
        <v>14</v>
      </c>
      <c r="B6" s="284" t="s">
        <v>519</v>
      </c>
      <c r="C6" s="30" t="s">
        <v>15</v>
      </c>
      <c r="D6" s="31" t="s">
        <v>25</v>
      </c>
      <c r="E6" s="29" t="s">
        <v>28</v>
      </c>
      <c r="F6" s="394"/>
      <c r="G6" s="394"/>
      <c r="H6" s="31" t="s">
        <v>26</v>
      </c>
      <c r="I6" s="281" t="s">
        <v>13</v>
      </c>
      <c r="J6" s="686" t="s">
        <v>44</v>
      </c>
      <c r="K6" s="30" t="s">
        <v>2</v>
      </c>
      <c r="L6" s="684" t="s">
        <v>49</v>
      </c>
      <c r="M6" s="684" t="s">
        <v>32</v>
      </c>
      <c r="N6" s="684" t="s">
        <v>5</v>
      </c>
      <c r="O6" s="684" t="s">
        <v>4</v>
      </c>
      <c r="P6" s="684" t="s">
        <v>6</v>
      </c>
      <c r="R6" s="10"/>
      <c r="S6" s="10"/>
      <c r="T6" s="10"/>
      <c r="U6" s="10"/>
      <c r="V6" s="10"/>
    </row>
    <row r="7" spans="1:22" ht="13.5" thickBot="1">
      <c r="A7" s="685"/>
      <c r="B7" s="546" t="s">
        <v>520</v>
      </c>
      <c r="C7" s="6"/>
      <c r="D7" s="7" t="s">
        <v>1</v>
      </c>
      <c r="E7" s="52"/>
      <c r="F7" s="395"/>
      <c r="G7" s="395"/>
      <c r="H7" s="7" t="s">
        <v>1</v>
      </c>
      <c r="I7" s="570"/>
      <c r="J7" s="687"/>
      <c r="K7" s="53" t="s">
        <v>3</v>
      </c>
      <c r="L7" s="685"/>
      <c r="M7" s="685"/>
      <c r="N7" s="685"/>
      <c r="O7" s="685"/>
      <c r="P7" s="685"/>
      <c r="R7" s="10"/>
      <c r="S7" s="10"/>
      <c r="T7" s="10"/>
      <c r="U7" s="10"/>
      <c r="V7" s="10"/>
    </row>
    <row r="8" spans="1:22" ht="12.75">
      <c r="A8" s="376" t="s">
        <v>391</v>
      </c>
      <c r="B8" s="392" t="s">
        <v>277</v>
      </c>
      <c r="C8" s="549" t="s">
        <v>40</v>
      </c>
      <c r="D8" s="572" t="s">
        <v>264</v>
      </c>
      <c r="E8" s="549" t="s">
        <v>264</v>
      </c>
      <c r="F8" s="392"/>
      <c r="G8" s="392"/>
      <c r="H8" s="573">
        <v>40</v>
      </c>
      <c r="I8" s="106" t="str">
        <f>VLOOKUP(A8,'Matrix Rathaus'!$A$2:$C$11,3,1)</f>
        <v>2 x m</v>
      </c>
      <c r="J8" s="107">
        <f>SUM(H8*(IF(I8=1,4.2,(IF(I8=2,8.4,(IF(I8=2.5,10.5,(IF(I8=3,12.9,(IF(I8=5,21,(IF(I8="1 x m",1.05,(IF(I8="2 x m",2.1)))))))))))))))</f>
        <v>84</v>
      </c>
      <c r="K8" s="596">
        <f>VLOOKUP(A8,'Matrix Rathaus'!$A$2:$C$11,2,1)</f>
        <v>0</v>
      </c>
      <c r="L8" s="107">
        <f aca="true" t="shared" si="0" ref="L8:L39">IF(K8&gt;0,SUM(J8/K8),0)</f>
        <v>0</v>
      </c>
      <c r="M8" s="551">
        <f>'StdVS Unterhaltsreinigung (UHR)'!$C$57</f>
        <v>0</v>
      </c>
      <c r="N8" s="108">
        <f aca="true" t="shared" si="1" ref="N8:N39">SUM(L8*M8)</f>
        <v>0</v>
      </c>
      <c r="O8" s="108">
        <f aca="true" t="shared" si="2" ref="O8:O40">N8*12</f>
        <v>0</v>
      </c>
      <c r="P8" s="109">
        <f aca="true" t="shared" si="3" ref="P8:P39">IF(J8&gt;0,N8/J8,0)</f>
        <v>0</v>
      </c>
      <c r="R8" s="10"/>
      <c r="S8" s="10"/>
      <c r="T8" s="10"/>
      <c r="U8" s="10"/>
      <c r="V8" s="10"/>
    </row>
    <row r="9" spans="1:22" ht="12.75">
      <c r="A9" s="377" t="s">
        <v>386</v>
      </c>
      <c r="B9" s="389" t="s">
        <v>16</v>
      </c>
      <c r="C9" s="344" t="s">
        <v>357</v>
      </c>
      <c r="D9" s="344" t="s">
        <v>50</v>
      </c>
      <c r="E9" s="344" t="s">
        <v>50</v>
      </c>
      <c r="F9" s="393">
        <v>5.3</v>
      </c>
      <c r="G9" s="393">
        <v>3.4</v>
      </c>
      <c r="H9" s="347">
        <f aca="true" t="shared" si="4" ref="H9:H14">F9*G9</f>
        <v>18.02</v>
      </c>
      <c r="I9" s="65">
        <f>VLOOKUP(A9,'Matrix Rathaus'!$A$2:$C$11,3,1)</f>
        <v>2</v>
      </c>
      <c r="J9" s="104">
        <f aca="true" t="shared" si="5" ref="J9:J39">SUM(H9*(IF(I9=1,4.2,(IF(I9=2,8.4,(IF(I9=2.5,10.5,(IF(I9=3,12.9,(IF(I9=5,21,(IF(I9="1 x m",1.05,(IF(I9="2 x m",2.1)))))))))))))))</f>
        <v>151.368</v>
      </c>
      <c r="K9" s="352">
        <f>VLOOKUP(A9,'Matrix Rathaus'!$A$2:$C$11,2,1)</f>
        <v>0</v>
      </c>
      <c r="L9" s="104">
        <f t="shared" si="0"/>
        <v>0</v>
      </c>
      <c r="M9" s="66">
        <f>'StdVS Unterhaltsreinigung (UHR)'!$C$57</f>
        <v>0</v>
      </c>
      <c r="N9" s="105">
        <f t="shared" si="1"/>
        <v>0</v>
      </c>
      <c r="O9" s="105">
        <f t="shared" si="2"/>
        <v>0</v>
      </c>
      <c r="P9" s="110">
        <f t="shared" si="3"/>
        <v>0</v>
      </c>
      <c r="R9" s="10"/>
      <c r="S9" s="10"/>
      <c r="T9" s="10"/>
      <c r="U9" s="10"/>
      <c r="V9" s="10"/>
    </row>
    <row r="10" spans="1:22" ht="12.75">
      <c r="A10" s="377" t="s">
        <v>386</v>
      </c>
      <c r="B10" s="389" t="s">
        <v>16</v>
      </c>
      <c r="C10" s="344" t="s">
        <v>358</v>
      </c>
      <c r="D10" s="344" t="s">
        <v>50</v>
      </c>
      <c r="E10" s="344" t="s">
        <v>50</v>
      </c>
      <c r="F10" s="393">
        <v>5.4</v>
      </c>
      <c r="G10" s="393">
        <v>5.3</v>
      </c>
      <c r="H10" s="347">
        <f t="shared" si="4"/>
        <v>28.62</v>
      </c>
      <c r="I10" s="65">
        <f>VLOOKUP(A10,'Matrix Rathaus'!$A$2:$C$11,3,1)</f>
        <v>2</v>
      </c>
      <c r="J10" s="104">
        <f t="shared" si="5"/>
        <v>240.40800000000002</v>
      </c>
      <c r="K10" s="352">
        <f>VLOOKUP(A10,'Matrix Rathaus'!$A$2:$C$11,2,1)</f>
        <v>0</v>
      </c>
      <c r="L10" s="104">
        <f t="shared" si="0"/>
        <v>0</v>
      </c>
      <c r="M10" s="66">
        <f>'StdVS Unterhaltsreinigung (UHR)'!$C$57</f>
        <v>0</v>
      </c>
      <c r="N10" s="105">
        <f t="shared" si="1"/>
        <v>0</v>
      </c>
      <c r="O10" s="105">
        <f t="shared" si="2"/>
        <v>0</v>
      </c>
      <c r="P10" s="110">
        <f t="shared" si="3"/>
        <v>0</v>
      </c>
      <c r="R10" s="10"/>
      <c r="S10" s="10"/>
      <c r="T10" s="10"/>
      <c r="U10" s="10"/>
      <c r="V10" s="10"/>
    </row>
    <row r="11" spans="1:22" ht="12.75">
      <c r="A11" s="377" t="s">
        <v>386</v>
      </c>
      <c r="B11" s="389" t="s">
        <v>16</v>
      </c>
      <c r="C11" s="344" t="s">
        <v>359</v>
      </c>
      <c r="D11" s="344" t="s">
        <v>50</v>
      </c>
      <c r="E11" s="344" t="s">
        <v>50</v>
      </c>
      <c r="F11" s="393">
        <v>5.3</v>
      </c>
      <c r="G11" s="393">
        <v>5.3</v>
      </c>
      <c r="H11" s="347">
        <f t="shared" si="4"/>
        <v>28.09</v>
      </c>
      <c r="I11" s="65">
        <f>VLOOKUP(A11,'Matrix Rathaus'!$A$2:$C$11,3,1)</f>
        <v>2</v>
      </c>
      <c r="J11" s="104">
        <f t="shared" si="5"/>
        <v>235.95600000000002</v>
      </c>
      <c r="K11" s="352">
        <f>VLOOKUP(A11,'Matrix Rathaus'!$A$2:$C$11,2,1)</f>
        <v>0</v>
      </c>
      <c r="L11" s="104">
        <f t="shared" si="0"/>
        <v>0</v>
      </c>
      <c r="M11" s="66">
        <f>'StdVS Unterhaltsreinigung (UHR)'!$C$57</f>
        <v>0</v>
      </c>
      <c r="N11" s="105">
        <f t="shared" si="1"/>
        <v>0</v>
      </c>
      <c r="O11" s="105">
        <f t="shared" si="2"/>
        <v>0</v>
      </c>
      <c r="P11" s="110">
        <f t="shared" si="3"/>
        <v>0</v>
      </c>
      <c r="R11" s="10"/>
      <c r="S11" s="10"/>
      <c r="T11" s="10"/>
      <c r="U11" s="10"/>
      <c r="V11" s="10"/>
    </row>
    <row r="12" spans="1:22" ht="12.75">
      <c r="A12" s="377" t="s">
        <v>386</v>
      </c>
      <c r="B12" s="389" t="s">
        <v>16</v>
      </c>
      <c r="C12" s="344" t="s">
        <v>360</v>
      </c>
      <c r="D12" s="344" t="s">
        <v>50</v>
      </c>
      <c r="E12" s="344" t="s">
        <v>50</v>
      </c>
      <c r="F12" s="393">
        <v>5.3</v>
      </c>
      <c r="G12" s="393">
        <v>5.3</v>
      </c>
      <c r="H12" s="347">
        <f t="shared" si="4"/>
        <v>28.09</v>
      </c>
      <c r="I12" s="65">
        <f>VLOOKUP(A12,'Matrix Rathaus'!$A$2:$C$11,3,1)</f>
        <v>2</v>
      </c>
      <c r="J12" s="104">
        <f t="shared" si="5"/>
        <v>235.95600000000002</v>
      </c>
      <c r="K12" s="352">
        <f>VLOOKUP(A12,'Matrix Rathaus'!$A$2:$C$11,2,1)</f>
        <v>0</v>
      </c>
      <c r="L12" s="104">
        <f t="shared" si="0"/>
        <v>0</v>
      </c>
      <c r="M12" s="66">
        <f>'StdVS Unterhaltsreinigung (UHR)'!$C$57</f>
        <v>0</v>
      </c>
      <c r="N12" s="105">
        <f t="shared" si="1"/>
        <v>0</v>
      </c>
      <c r="O12" s="105">
        <f t="shared" si="2"/>
        <v>0</v>
      </c>
      <c r="P12" s="110">
        <f t="shared" si="3"/>
        <v>0</v>
      </c>
      <c r="R12" s="10"/>
      <c r="S12" s="10"/>
      <c r="T12" s="10"/>
      <c r="U12" s="10"/>
      <c r="V12" s="10"/>
    </row>
    <row r="13" spans="1:22" ht="12.75">
      <c r="A13" s="377" t="s">
        <v>386</v>
      </c>
      <c r="B13" s="389" t="s">
        <v>16</v>
      </c>
      <c r="C13" s="344" t="s">
        <v>361</v>
      </c>
      <c r="D13" s="344" t="s">
        <v>50</v>
      </c>
      <c r="E13" s="344" t="s">
        <v>50</v>
      </c>
      <c r="F13" s="393">
        <v>3.5</v>
      </c>
      <c r="G13" s="393">
        <v>5.3</v>
      </c>
      <c r="H13" s="347">
        <f t="shared" si="4"/>
        <v>18.55</v>
      </c>
      <c r="I13" s="65">
        <f>VLOOKUP(A13,'Matrix Rathaus'!$A$2:$C$11,3,1)</f>
        <v>2</v>
      </c>
      <c r="J13" s="104">
        <f t="shared" si="5"/>
        <v>155.82000000000002</v>
      </c>
      <c r="K13" s="352">
        <f>VLOOKUP(A13,'Matrix Rathaus'!$A$2:$C$11,2,1)</f>
        <v>0</v>
      </c>
      <c r="L13" s="104">
        <f t="shared" si="0"/>
        <v>0</v>
      </c>
      <c r="M13" s="66">
        <f>'StdVS Unterhaltsreinigung (UHR)'!$C$57</f>
        <v>0</v>
      </c>
      <c r="N13" s="105">
        <f t="shared" si="1"/>
        <v>0</v>
      </c>
      <c r="O13" s="105">
        <f t="shared" si="2"/>
        <v>0</v>
      </c>
      <c r="P13" s="110">
        <f t="shared" si="3"/>
        <v>0</v>
      </c>
      <c r="R13" s="10"/>
      <c r="S13" s="10"/>
      <c r="T13" s="10"/>
      <c r="U13" s="10"/>
      <c r="V13" s="10"/>
    </row>
    <row r="14" spans="1:22" ht="12.75">
      <c r="A14" s="377" t="s">
        <v>386</v>
      </c>
      <c r="B14" s="389" t="s">
        <v>16</v>
      </c>
      <c r="C14" s="344" t="s">
        <v>362</v>
      </c>
      <c r="D14" s="344" t="s">
        <v>50</v>
      </c>
      <c r="E14" s="344" t="s">
        <v>50</v>
      </c>
      <c r="F14" s="393">
        <v>3.5</v>
      </c>
      <c r="G14" s="393">
        <v>5.3</v>
      </c>
      <c r="H14" s="347">
        <f t="shared" si="4"/>
        <v>18.55</v>
      </c>
      <c r="I14" s="65">
        <f>VLOOKUP(A14,'Matrix Rathaus'!$A$2:$C$11,3,1)</f>
        <v>2</v>
      </c>
      <c r="J14" s="104">
        <f t="shared" si="5"/>
        <v>155.82000000000002</v>
      </c>
      <c r="K14" s="352">
        <f>VLOOKUP(A14,'Matrix Rathaus'!$A$2:$C$11,2,1)</f>
        <v>0</v>
      </c>
      <c r="L14" s="104">
        <f t="shared" si="0"/>
        <v>0</v>
      </c>
      <c r="M14" s="66">
        <f>'StdVS Unterhaltsreinigung (UHR)'!$C$57</f>
        <v>0</v>
      </c>
      <c r="N14" s="105">
        <f t="shared" si="1"/>
        <v>0</v>
      </c>
      <c r="O14" s="105">
        <f t="shared" si="2"/>
        <v>0</v>
      </c>
      <c r="P14" s="110">
        <f t="shared" si="3"/>
        <v>0</v>
      </c>
      <c r="R14" s="10"/>
      <c r="S14" s="10"/>
      <c r="T14" s="10"/>
      <c r="U14" s="10"/>
      <c r="V14" s="10"/>
    </row>
    <row r="15" spans="1:22" ht="22.5">
      <c r="A15" s="377" t="s">
        <v>386</v>
      </c>
      <c r="B15" s="389" t="s">
        <v>16</v>
      </c>
      <c r="C15" s="344" t="s">
        <v>363</v>
      </c>
      <c r="D15" s="344" t="s">
        <v>50</v>
      </c>
      <c r="E15" s="344" t="s">
        <v>50</v>
      </c>
      <c r="F15" s="571" t="s">
        <v>373</v>
      </c>
      <c r="G15" s="571" t="s">
        <v>374</v>
      </c>
      <c r="H15" s="347">
        <f>'[2]Berechnung Details´13'!$D$30</f>
        <v>36.57</v>
      </c>
      <c r="I15" s="65">
        <f>VLOOKUP(A15,'Matrix Rathaus'!$A$2:$C$11,3,1)</f>
        <v>2</v>
      </c>
      <c r="J15" s="104">
        <f t="shared" si="5"/>
        <v>307.188</v>
      </c>
      <c r="K15" s="352">
        <f>VLOOKUP(A15,'Matrix Rathaus'!$A$2:$C$11,2,1)</f>
        <v>0</v>
      </c>
      <c r="L15" s="104">
        <f t="shared" si="0"/>
        <v>0</v>
      </c>
      <c r="M15" s="66">
        <f>'StdVS Unterhaltsreinigung (UHR)'!$C$57</f>
        <v>0</v>
      </c>
      <c r="N15" s="105">
        <f t="shared" si="1"/>
        <v>0</v>
      </c>
      <c r="O15" s="105">
        <f t="shared" si="2"/>
        <v>0</v>
      </c>
      <c r="P15" s="110">
        <f t="shared" si="3"/>
        <v>0</v>
      </c>
      <c r="R15" s="10"/>
      <c r="S15" s="10"/>
      <c r="T15" s="10"/>
      <c r="U15" s="10"/>
      <c r="V15" s="10"/>
    </row>
    <row r="16" spans="1:22" ht="12.75">
      <c r="A16" s="377" t="s">
        <v>386</v>
      </c>
      <c r="B16" s="389" t="s">
        <v>16</v>
      </c>
      <c r="C16" s="344" t="s">
        <v>364</v>
      </c>
      <c r="D16" s="344" t="s">
        <v>50</v>
      </c>
      <c r="E16" s="344" t="s">
        <v>50</v>
      </c>
      <c r="F16" s="393">
        <v>5.3</v>
      </c>
      <c r="G16" s="393">
        <v>5.3</v>
      </c>
      <c r="H16" s="347">
        <f>F16*G16</f>
        <v>28.09</v>
      </c>
      <c r="I16" s="65">
        <f>VLOOKUP(A16,'Matrix Rathaus'!$A$2:$C$11,3,1)</f>
        <v>2</v>
      </c>
      <c r="J16" s="104">
        <f t="shared" si="5"/>
        <v>235.95600000000002</v>
      </c>
      <c r="K16" s="352">
        <f>VLOOKUP(A16,'Matrix Rathaus'!$A$2:$C$11,2,1)</f>
        <v>0</v>
      </c>
      <c r="L16" s="104">
        <f t="shared" si="0"/>
        <v>0</v>
      </c>
      <c r="M16" s="66">
        <f>'StdVS Unterhaltsreinigung (UHR)'!$C$57</f>
        <v>0</v>
      </c>
      <c r="N16" s="105">
        <f t="shared" si="1"/>
        <v>0</v>
      </c>
      <c r="O16" s="105">
        <f t="shared" si="2"/>
        <v>0</v>
      </c>
      <c r="P16" s="110">
        <f t="shared" si="3"/>
        <v>0</v>
      </c>
      <c r="R16" s="10"/>
      <c r="S16" s="10"/>
      <c r="T16" s="10"/>
      <c r="U16" s="10"/>
      <c r="V16" s="10"/>
    </row>
    <row r="17" spans="1:22" ht="12.75">
      <c r="A17" s="377" t="s">
        <v>386</v>
      </c>
      <c r="B17" s="389" t="s">
        <v>16</v>
      </c>
      <c r="C17" s="344" t="s">
        <v>365</v>
      </c>
      <c r="D17" s="344" t="s">
        <v>50</v>
      </c>
      <c r="E17" s="344" t="s">
        <v>50</v>
      </c>
      <c r="F17" s="393">
        <v>5.3</v>
      </c>
      <c r="G17" s="393">
        <v>5.3</v>
      </c>
      <c r="H17" s="347">
        <f>F17*G17</f>
        <v>28.09</v>
      </c>
      <c r="I17" s="65">
        <f>VLOOKUP(A17,'Matrix Rathaus'!$A$2:$C$11,3,1)</f>
        <v>2</v>
      </c>
      <c r="J17" s="104">
        <f t="shared" si="5"/>
        <v>235.95600000000002</v>
      </c>
      <c r="K17" s="352">
        <f>VLOOKUP(A17,'Matrix Rathaus'!$A$2:$C$11,2,1)</f>
        <v>0</v>
      </c>
      <c r="L17" s="104">
        <f t="shared" si="0"/>
        <v>0</v>
      </c>
      <c r="M17" s="66">
        <f>'StdVS Unterhaltsreinigung (UHR)'!$C$57</f>
        <v>0</v>
      </c>
      <c r="N17" s="105">
        <f t="shared" si="1"/>
        <v>0</v>
      </c>
      <c r="O17" s="105">
        <f t="shared" si="2"/>
        <v>0</v>
      </c>
      <c r="P17" s="110">
        <f t="shared" si="3"/>
        <v>0</v>
      </c>
      <c r="R17" s="10"/>
      <c r="S17" s="10"/>
      <c r="T17" s="10"/>
      <c r="U17" s="10"/>
      <c r="V17" s="10"/>
    </row>
    <row r="18" spans="1:22" ht="12.75">
      <c r="A18" s="377" t="s">
        <v>386</v>
      </c>
      <c r="B18" s="389" t="s">
        <v>16</v>
      </c>
      <c r="C18" s="344" t="s">
        <v>366</v>
      </c>
      <c r="D18" s="344" t="s">
        <v>276</v>
      </c>
      <c r="E18" s="344" t="s">
        <v>276</v>
      </c>
      <c r="F18" s="393">
        <v>8.8</v>
      </c>
      <c r="G18" s="393">
        <v>5.3</v>
      </c>
      <c r="H18" s="347">
        <f>F18*G18</f>
        <v>46.64</v>
      </c>
      <c r="I18" s="65">
        <f>VLOOKUP(A18,'Matrix Rathaus'!$A$2:$C$11,3,1)</f>
        <v>2</v>
      </c>
      <c r="J18" s="104">
        <f t="shared" si="5"/>
        <v>391.776</v>
      </c>
      <c r="K18" s="352">
        <f>VLOOKUP(A18,'Matrix Rathaus'!$A$2:$C$11,2,1)</f>
        <v>0</v>
      </c>
      <c r="L18" s="104">
        <f t="shared" si="0"/>
        <v>0</v>
      </c>
      <c r="M18" s="66">
        <f>'StdVS Unterhaltsreinigung (UHR)'!$C$57</f>
        <v>0</v>
      </c>
      <c r="N18" s="105">
        <f t="shared" si="1"/>
        <v>0</v>
      </c>
      <c r="O18" s="105">
        <f t="shared" si="2"/>
        <v>0</v>
      </c>
      <c r="P18" s="110">
        <f t="shared" si="3"/>
        <v>0</v>
      </c>
      <c r="R18" s="10"/>
      <c r="S18" s="10"/>
      <c r="T18" s="10"/>
      <c r="U18" s="10"/>
      <c r="V18" s="10"/>
    </row>
    <row r="19" spans="1:22" ht="12.75">
      <c r="A19" s="377" t="s">
        <v>386</v>
      </c>
      <c r="B19" s="389" t="s">
        <v>16</v>
      </c>
      <c r="C19" s="344" t="s">
        <v>367</v>
      </c>
      <c r="D19" s="344" t="s">
        <v>50</v>
      </c>
      <c r="E19" s="344" t="s">
        <v>50</v>
      </c>
      <c r="F19" s="393">
        <v>3.35</v>
      </c>
      <c r="G19" s="393">
        <v>7</v>
      </c>
      <c r="H19" s="347">
        <f>F19*G19</f>
        <v>23.45</v>
      </c>
      <c r="I19" s="65">
        <f>VLOOKUP(A19,'Matrix Rathaus'!$A$2:$C$11,3,1)</f>
        <v>2</v>
      </c>
      <c r="J19" s="104">
        <f t="shared" si="5"/>
        <v>196.98</v>
      </c>
      <c r="K19" s="352">
        <f>VLOOKUP(A19,'Matrix Rathaus'!$A$2:$C$11,2,1)</f>
        <v>0</v>
      </c>
      <c r="L19" s="104">
        <f t="shared" si="0"/>
        <v>0</v>
      </c>
      <c r="M19" s="66">
        <f>'StdVS Unterhaltsreinigung (UHR)'!$C$57</f>
        <v>0</v>
      </c>
      <c r="N19" s="105">
        <f t="shared" si="1"/>
        <v>0</v>
      </c>
      <c r="O19" s="105">
        <f t="shared" si="2"/>
        <v>0</v>
      </c>
      <c r="P19" s="110">
        <f t="shared" si="3"/>
        <v>0</v>
      </c>
      <c r="R19" s="10"/>
      <c r="S19" s="10"/>
      <c r="T19" s="10"/>
      <c r="U19" s="10"/>
      <c r="V19" s="10"/>
    </row>
    <row r="20" spans="1:22" ht="12.75">
      <c r="A20" s="377" t="s">
        <v>318</v>
      </c>
      <c r="B20" s="389" t="s">
        <v>16</v>
      </c>
      <c r="C20" s="344" t="s">
        <v>368</v>
      </c>
      <c r="D20" s="344" t="s">
        <v>50</v>
      </c>
      <c r="E20" s="344" t="s">
        <v>50</v>
      </c>
      <c r="F20" s="393">
        <v>3.35</v>
      </c>
      <c r="G20" s="393">
        <v>2.5</v>
      </c>
      <c r="H20" s="347">
        <f>F20*G20</f>
        <v>8.375</v>
      </c>
      <c r="I20" s="65" t="str">
        <f>VLOOKUP(A20,'Matrix Rathaus'!$A$2:$C$11,3,1)</f>
        <v>2 x m</v>
      </c>
      <c r="J20" s="104">
        <f t="shared" si="5"/>
        <v>17.587500000000002</v>
      </c>
      <c r="K20" s="352">
        <f>VLOOKUP(A20,'Matrix Rathaus'!$A$2:$C$11,2,1)</f>
        <v>0</v>
      </c>
      <c r="L20" s="104">
        <f t="shared" si="0"/>
        <v>0</v>
      </c>
      <c r="M20" s="66">
        <f>'StdVS Unterhaltsreinigung (UHR)'!$C$57</f>
        <v>0</v>
      </c>
      <c r="N20" s="105">
        <f t="shared" si="1"/>
        <v>0</v>
      </c>
      <c r="O20" s="105">
        <f t="shared" si="2"/>
        <v>0</v>
      </c>
      <c r="P20" s="110">
        <f t="shared" si="3"/>
        <v>0</v>
      </c>
      <c r="R20" s="10"/>
      <c r="S20" s="10"/>
      <c r="T20" s="10"/>
      <c r="U20" s="10"/>
      <c r="V20" s="10"/>
    </row>
    <row r="21" spans="1:22" ht="22.5">
      <c r="A21" s="377" t="s">
        <v>38</v>
      </c>
      <c r="B21" s="389" t="s">
        <v>16</v>
      </c>
      <c r="C21" s="344" t="s">
        <v>52</v>
      </c>
      <c r="D21" s="344" t="s">
        <v>264</v>
      </c>
      <c r="E21" s="344" t="s">
        <v>264</v>
      </c>
      <c r="F21" s="571" t="s">
        <v>373</v>
      </c>
      <c r="G21" s="571" t="s">
        <v>374</v>
      </c>
      <c r="H21" s="347">
        <v>5.59</v>
      </c>
      <c r="I21" s="65">
        <f>VLOOKUP(A21,'Matrix Rathaus'!$A$2:$C$11,3,1)</f>
        <v>5</v>
      </c>
      <c r="J21" s="104">
        <f t="shared" si="5"/>
        <v>117.39</v>
      </c>
      <c r="K21" s="352">
        <f>VLOOKUP(A21,'Matrix Rathaus'!$A$2:$C$11,2,1)</f>
        <v>0</v>
      </c>
      <c r="L21" s="104">
        <f t="shared" si="0"/>
        <v>0</v>
      </c>
      <c r="M21" s="66">
        <f>'StdVS Unterhaltsreinigung (UHR)'!$C$57</f>
        <v>0</v>
      </c>
      <c r="N21" s="105">
        <f t="shared" si="1"/>
        <v>0</v>
      </c>
      <c r="O21" s="105">
        <f t="shared" si="2"/>
        <v>0</v>
      </c>
      <c r="P21" s="110">
        <f t="shared" si="3"/>
        <v>0</v>
      </c>
      <c r="R21" s="10"/>
      <c r="S21" s="10"/>
      <c r="T21" s="10"/>
      <c r="U21" s="10"/>
      <c r="V21" s="10"/>
    </row>
    <row r="22" spans="1:22" ht="22.5">
      <c r="A22" s="377" t="s">
        <v>38</v>
      </c>
      <c r="B22" s="389" t="s">
        <v>16</v>
      </c>
      <c r="C22" s="345" t="s">
        <v>78</v>
      </c>
      <c r="D22" s="344" t="s">
        <v>264</v>
      </c>
      <c r="E22" s="344" t="s">
        <v>264</v>
      </c>
      <c r="F22" s="571" t="s">
        <v>373</v>
      </c>
      <c r="G22" s="571" t="s">
        <v>374</v>
      </c>
      <c r="H22" s="347">
        <v>5.27</v>
      </c>
      <c r="I22" s="65">
        <f>VLOOKUP(A22,'Matrix Rathaus'!$A$2:$C$11,3,1)</f>
        <v>5</v>
      </c>
      <c r="J22" s="104">
        <f t="shared" si="5"/>
        <v>110.66999999999999</v>
      </c>
      <c r="K22" s="352">
        <f>VLOOKUP(A22,'Matrix Rathaus'!$A$2:$C$11,2,1)</f>
        <v>0</v>
      </c>
      <c r="L22" s="104">
        <f t="shared" si="0"/>
        <v>0</v>
      </c>
      <c r="M22" s="66">
        <f>'StdVS Unterhaltsreinigung (UHR)'!$C$57</f>
        <v>0</v>
      </c>
      <c r="N22" s="105">
        <f t="shared" si="1"/>
        <v>0</v>
      </c>
      <c r="O22" s="105">
        <f t="shared" si="2"/>
        <v>0</v>
      </c>
      <c r="P22" s="110">
        <f t="shared" si="3"/>
        <v>0</v>
      </c>
      <c r="R22" s="10"/>
      <c r="S22" s="10"/>
      <c r="T22" s="10"/>
      <c r="U22" s="10"/>
      <c r="V22" s="10"/>
    </row>
    <row r="23" spans="1:22" ht="22.5">
      <c r="A23" s="377" t="s">
        <v>390</v>
      </c>
      <c r="B23" s="389" t="s">
        <v>16</v>
      </c>
      <c r="C23" s="344" t="s">
        <v>369</v>
      </c>
      <c r="D23" s="344" t="s">
        <v>276</v>
      </c>
      <c r="E23" s="344" t="s">
        <v>276</v>
      </c>
      <c r="F23" s="571" t="s">
        <v>373</v>
      </c>
      <c r="G23" s="571" t="s">
        <v>374</v>
      </c>
      <c r="H23" s="347">
        <v>230.58</v>
      </c>
      <c r="I23" s="65">
        <f>VLOOKUP(A23,'Matrix Rathaus'!$A$2:$C$11,3,1)</f>
        <v>1</v>
      </c>
      <c r="J23" s="104">
        <f t="shared" si="5"/>
        <v>968.4360000000001</v>
      </c>
      <c r="K23" s="352">
        <f>VLOOKUP(A23,'Matrix Rathaus'!$A$2:$C$11,2,1)</f>
        <v>0</v>
      </c>
      <c r="L23" s="104">
        <f t="shared" si="0"/>
        <v>0</v>
      </c>
      <c r="M23" s="66">
        <f>'StdVS Unterhaltsreinigung (UHR)'!$C$57</f>
        <v>0</v>
      </c>
      <c r="N23" s="105">
        <f t="shared" si="1"/>
        <v>0</v>
      </c>
      <c r="O23" s="105">
        <f t="shared" si="2"/>
        <v>0</v>
      </c>
      <c r="P23" s="110">
        <f t="shared" si="3"/>
        <v>0</v>
      </c>
      <c r="R23" s="10"/>
      <c r="S23" s="10"/>
      <c r="T23" s="10"/>
      <c r="U23" s="10"/>
      <c r="V23" s="10"/>
    </row>
    <row r="24" spans="1:22" ht="12.75">
      <c r="A24" s="377" t="s">
        <v>392</v>
      </c>
      <c r="B24" s="389" t="s">
        <v>16</v>
      </c>
      <c r="C24" s="344" t="s">
        <v>370</v>
      </c>
      <c r="D24" s="344" t="s">
        <v>276</v>
      </c>
      <c r="E24" s="344" t="s">
        <v>276</v>
      </c>
      <c r="F24" s="393">
        <v>1.44</v>
      </c>
      <c r="G24" s="393">
        <v>6.94</v>
      </c>
      <c r="H24" s="347">
        <f aca="true" t="shared" si="6" ref="H24:H30">F24*G24</f>
        <v>9.9936</v>
      </c>
      <c r="I24" s="352" t="s">
        <v>140</v>
      </c>
      <c r="J24" s="104">
        <f t="shared" si="5"/>
        <v>20.98656</v>
      </c>
      <c r="K24" s="352">
        <f>VLOOKUP(A24,'Matrix Rathaus'!$A$2:$C$11,2,1)</f>
        <v>0</v>
      </c>
      <c r="L24" s="104">
        <f t="shared" si="0"/>
        <v>0</v>
      </c>
      <c r="M24" s="66">
        <f>'StdVS Unterhaltsreinigung (UHR)'!$C$57</f>
        <v>0</v>
      </c>
      <c r="N24" s="105">
        <f t="shared" si="1"/>
        <v>0</v>
      </c>
      <c r="O24" s="105">
        <f t="shared" si="2"/>
        <v>0</v>
      </c>
      <c r="P24" s="110">
        <f t="shared" si="3"/>
        <v>0</v>
      </c>
      <c r="R24" s="10"/>
      <c r="S24" s="10"/>
      <c r="T24" s="10"/>
      <c r="U24" s="10"/>
      <c r="V24" s="10"/>
    </row>
    <row r="25" spans="1:22" ht="12.75">
      <c r="A25" s="377" t="s">
        <v>392</v>
      </c>
      <c r="B25" s="389" t="s">
        <v>16</v>
      </c>
      <c r="C25" s="344" t="s">
        <v>371</v>
      </c>
      <c r="D25" s="344" t="s">
        <v>276</v>
      </c>
      <c r="E25" s="344" t="s">
        <v>276</v>
      </c>
      <c r="F25" s="393">
        <v>1.9</v>
      </c>
      <c r="G25" s="393">
        <v>5.8</v>
      </c>
      <c r="H25" s="347">
        <f t="shared" si="6"/>
        <v>11.02</v>
      </c>
      <c r="I25" s="65">
        <f>VLOOKUP(A25,'Matrix Rathaus'!$A$2:$C$11,3,1)</f>
        <v>1</v>
      </c>
      <c r="J25" s="104">
        <f t="shared" si="5"/>
        <v>46.284</v>
      </c>
      <c r="K25" s="352">
        <f>VLOOKUP(A25,'Matrix Rathaus'!$A$2:$C$11,2,1)</f>
        <v>0</v>
      </c>
      <c r="L25" s="104">
        <f t="shared" si="0"/>
        <v>0</v>
      </c>
      <c r="M25" s="66">
        <f>'StdVS Unterhaltsreinigung (UHR)'!$C$57</f>
        <v>0</v>
      </c>
      <c r="N25" s="105">
        <f t="shared" si="1"/>
        <v>0</v>
      </c>
      <c r="O25" s="105">
        <f t="shared" si="2"/>
        <v>0</v>
      </c>
      <c r="P25" s="110">
        <f t="shared" si="3"/>
        <v>0</v>
      </c>
      <c r="R25" s="10"/>
      <c r="S25" s="10"/>
      <c r="T25" s="10"/>
      <c r="U25" s="10"/>
      <c r="V25" s="10"/>
    </row>
    <row r="26" spans="1:22" ht="12.75">
      <c r="A26" s="377" t="s">
        <v>389</v>
      </c>
      <c r="B26" s="389" t="s">
        <v>16</v>
      </c>
      <c r="C26" s="344" t="s">
        <v>372</v>
      </c>
      <c r="D26" s="344" t="s">
        <v>276</v>
      </c>
      <c r="E26" s="344" t="s">
        <v>276</v>
      </c>
      <c r="F26" s="393">
        <v>10.4</v>
      </c>
      <c r="G26" s="393">
        <v>10.4</v>
      </c>
      <c r="H26" s="347">
        <f t="shared" si="6"/>
        <v>108.16000000000001</v>
      </c>
      <c r="I26" s="65">
        <f>VLOOKUP(A26,'Matrix Rathaus'!$A$2:$C$11,3,1)</f>
        <v>1</v>
      </c>
      <c r="J26" s="104">
        <f t="shared" si="5"/>
        <v>454.27200000000005</v>
      </c>
      <c r="K26" s="352">
        <f>VLOOKUP(A26,'Matrix Rathaus'!$A$2:$C$11,2,1)</f>
        <v>0</v>
      </c>
      <c r="L26" s="104">
        <f t="shared" si="0"/>
        <v>0</v>
      </c>
      <c r="M26" s="66">
        <f>'StdVS Unterhaltsreinigung (UHR)'!$C$57</f>
        <v>0</v>
      </c>
      <c r="N26" s="105">
        <f t="shared" si="1"/>
        <v>0</v>
      </c>
      <c r="O26" s="105">
        <f t="shared" si="2"/>
        <v>0</v>
      </c>
      <c r="P26" s="110">
        <f t="shared" si="3"/>
        <v>0</v>
      </c>
      <c r="R26" s="10"/>
      <c r="S26" s="10"/>
      <c r="T26" s="10"/>
      <c r="U26" s="10"/>
      <c r="V26" s="10"/>
    </row>
    <row r="27" spans="1:22" ht="12.75">
      <c r="A27" s="377" t="s">
        <v>386</v>
      </c>
      <c r="B27" s="389" t="s">
        <v>288</v>
      </c>
      <c r="C27" s="344" t="s">
        <v>376</v>
      </c>
      <c r="D27" s="344" t="s">
        <v>276</v>
      </c>
      <c r="E27" s="344" t="s">
        <v>276</v>
      </c>
      <c r="F27" s="393">
        <v>6.97</v>
      </c>
      <c r="G27" s="393">
        <v>5.3</v>
      </c>
      <c r="H27" s="347">
        <f t="shared" si="6"/>
        <v>36.940999999999995</v>
      </c>
      <c r="I27" s="65">
        <f>VLOOKUP(A27,'Matrix Rathaus'!$A$2:$C$11,3,1)</f>
        <v>2</v>
      </c>
      <c r="J27" s="104">
        <f t="shared" si="5"/>
        <v>310.3044</v>
      </c>
      <c r="K27" s="352">
        <f>VLOOKUP(A27,'Matrix Rathaus'!$A$2:$C$11,2,1)</f>
        <v>0</v>
      </c>
      <c r="L27" s="104">
        <f t="shared" si="0"/>
        <v>0</v>
      </c>
      <c r="M27" s="66">
        <f>'StdVS Unterhaltsreinigung (UHR)'!$C$57</f>
        <v>0</v>
      </c>
      <c r="N27" s="105">
        <f t="shared" si="1"/>
        <v>0</v>
      </c>
      <c r="O27" s="105">
        <f t="shared" si="2"/>
        <v>0</v>
      </c>
      <c r="P27" s="110">
        <f t="shared" si="3"/>
        <v>0</v>
      </c>
      <c r="R27" s="10"/>
      <c r="S27" s="10"/>
      <c r="T27" s="10"/>
      <c r="U27" s="10"/>
      <c r="V27" s="10"/>
    </row>
    <row r="28" spans="1:22" ht="12.75">
      <c r="A28" s="377" t="s">
        <v>386</v>
      </c>
      <c r="B28" s="389" t="s">
        <v>288</v>
      </c>
      <c r="C28" s="344" t="s">
        <v>377</v>
      </c>
      <c r="D28" s="344" t="s">
        <v>50</v>
      </c>
      <c r="E28" s="344" t="s">
        <v>50</v>
      </c>
      <c r="F28" s="393">
        <v>3.5</v>
      </c>
      <c r="G28" s="393">
        <v>5.3</v>
      </c>
      <c r="H28" s="347">
        <f t="shared" si="6"/>
        <v>18.55</v>
      </c>
      <c r="I28" s="65">
        <f>VLOOKUP(A28,'Matrix Rathaus'!$A$2:$C$11,3,1)</f>
        <v>2</v>
      </c>
      <c r="J28" s="104">
        <f t="shared" si="5"/>
        <v>155.82000000000002</v>
      </c>
      <c r="K28" s="352">
        <f>VLOOKUP(A28,'Matrix Rathaus'!$A$2:$C$11,2,1)</f>
        <v>0</v>
      </c>
      <c r="L28" s="104">
        <f t="shared" si="0"/>
        <v>0</v>
      </c>
      <c r="M28" s="66">
        <f>'StdVS Unterhaltsreinigung (UHR)'!$C$57</f>
        <v>0</v>
      </c>
      <c r="N28" s="105">
        <f t="shared" si="1"/>
        <v>0</v>
      </c>
      <c r="O28" s="105">
        <f t="shared" si="2"/>
        <v>0</v>
      </c>
      <c r="P28" s="110">
        <f t="shared" si="3"/>
        <v>0</v>
      </c>
      <c r="R28" s="10"/>
      <c r="S28" s="10"/>
      <c r="T28" s="10"/>
      <c r="U28" s="10"/>
      <c r="V28" s="10"/>
    </row>
    <row r="29" spans="1:22" ht="12.75">
      <c r="A29" s="377" t="s">
        <v>388</v>
      </c>
      <c r="B29" s="389" t="s">
        <v>288</v>
      </c>
      <c r="C29" s="344" t="s">
        <v>378</v>
      </c>
      <c r="D29" s="344" t="s">
        <v>50</v>
      </c>
      <c r="E29" s="344" t="s">
        <v>50</v>
      </c>
      <c r="F29" s="393">
        <v>3.5</v>
      </c>
      <c r="G29" s="393">
        <v>5.3</v>
      </c>
      <c r="H29" s="347">
        <f t="shared" si="6"/>
        <v>18.55</v>
      </c>
      <c r="I29" s="65">
        <f>VLOOKUP(A29,'Matrix Rathaus'!$A$2:$C$11,3,1)</f>
        <v>2</v>
      </c>
      <c r="J29" s="104">
        <f t="shared" si="5"/>
        <v>155.82000000000002</v>
      </c>
      <c r="K29" s="352">
        <f>VLOOKUP(A29,'Matrix Rathaus'!$A$2:$C$11,2,1)</f>
        <v>0</v>
      </c>
      <c r="L29" s="104">
        <f t="shared" si="0"/>
        <v>0</v>
      </c>
      <c r="M29" s="66">
        <f>'StdVS Unterhaltsreinigung (UHR)'!$C$57</f>
        <v>0</v>
      </c>
      <c r="N29" s="105">
        <f t="shared" si="1"/>
        <v>0</v>
      </c>
      <c r="O29" s="105">
        <f t="shared" si="2"/>
        <v>0</v>
      </c>
      <c r="P29" s="110">
        <f t="shared" si="3"/>
        <v>0</v>
      </c>
      <c r="R29" s="10"/>
      <c r="S29" s="10"/>
      <c r="T29" s="10"/>
      <c r="U29" s="10"/>
      <c r="V29" s="10"/>
    </row>
    <row r="30" spans="1:22" ht="12.75">
      <c r="A30" s="377" t="s">
        <v>386</v>
      </c>
      <c r="B30" s="389" t="s">
        <v>288</v>
      </c>
      <c r="C30" s="344" t="s">
        <v>379</v>
      </c>
      <c r="D30" s="344" t="s">
        <v>50</v>
      </c>
      <c r="E30" s="344" t="s">
        <v>50</v>
      </c>
      <c r="F30" s="393">
        <v>5.3</v>
      </c>
      <c r="G30" s="393">
        <v>5.3</v>
      </c>
      <c r="H30" s="347">
        <f t="shared" si="6"/>
        <v>28.09</v>
      </c>
      <c r="I30" s="65">
        <f>VLOOKUP(A30,'Matrix Rathaus'!$A$2:$C$11,3,1)</f>
        <v>2</v>
      </c>
      <c r="J30" s="104">
        <f t="shared" si="5"/>
        <v>235.95600000000002</v>
      </c>
      <c r="K30" s="352">
        <f>VLOOKUP(A30,'Matrix Rathaus'!$A$2:$C$11,2,1)</f>
        <v>0</v>
      </c>
      <c r="L30" s="104">
        <f t="shared" si="0"/>
        <v>0</v>
      </c>
      <c r="M30" s="66">
        <f>'StdVS Unterhaltsreinigung (UHR)'!$C$57</f>
        <v>0</v>
      </c>
      <c r="N30" s="105">
        <f t="shared" si="1"/>
        <v>0</v>
      </c>
      <c r="O30" s="105">
        <f t="shared" si="2"/>
        <v>0</v>
      </c>
      <c r="P30" s="110">
        <f t="shared" si="3"/>
        <v>0</v>
      </c>
      <c r="R30" s="10"/>
      <c r="S30" s="10"/>
      <c r="T30" s="10"/>
      <c r="U30" s="10"/>
      <c r="V30" s="10"/>
    </row>
    <row r="31" spans="1:22" ht="15" customHeight="1">
      <c r="A31" s="377" t="s">
        <v>386</v>
      </c>
      <c r="B31" s="389" t="s">
        <v>288</v>
      </c>
      <c r="C31" s="344" t="s">
        <v>380</v>
      </c>
      <c r="D31" s="344" t="s">
        <v>50</v>
      </c>
      <c r="E31" s="344" t="s">
        <v>50</v>
      </c>
      <c r="F31" s="571" t="s">
        <v>373</v>
      </c>
      <c r="G31" s="571" t="s">
        <v>374</v>
      </c>
      <c r="H31" s="347">
        <v>45.58</v>
      </c>
      <c r="I31" s="352" t="s">
        <v>424</v>
      </c>
      <c r="J31" s="104">
        <f t="shared" si="5"/>
        <v>47.859</v>
      </c>
      <c r="K31" s="352">
        <f>VLOOKUP(A31,'Matrix Rathaus'!$A$2:$C$11,2,1)</f>
        <v>0</v>
      </c>
      <c r="L31" s="104">
        <f t="shared" si="0"/>
        <v>0</v>
      </c>
      <c r="M31" s="66">
        <f>'StdVS Unterhaltsreinigung (UHR)'!$C$57</f>
        <v>0</v>
      </c>
      <c r="N31" s="105">
        <f t="shared" si="1"/>
        <v>0</v>
      </c>
      <c r="O31" s="105">
        <f t="shared" si="2"/>
        <v>0</v>
      </c>
      <c r="P31" s="110">
        <f t="shared" si="3"/>
        <v>0</v>
      </c>
      <c r="R31" s="10"/>
      <c r="S31" s="10"/>
      <c r="T31" s="10"/>
      <c r="U31" s="10"/>
      <c r="V31" s="10"/>
    </row>
    <row r="32" spans="1:22" ht="12.75">
      <c r="A32" s="377" t="s">
        <v>345</v>
      </c>
      <c r="B32" s="389" t="s">
        <v>288</v>
      </c>
      <c r="C32" s="344" t="s">
        <v>381</v>
      </c>
      <c r="D32" s="344" t="s">
        <v>50</v>
      </c>
      <c r="E32" s="344" t="s">
        <v>50</v>
      </c>
      <c r="F32" s="393">
        <v>5.3</v>
      </c>
      <c r="G32" s="393">
        <v>7.1</v>
      </c>
      <c r="H32" s="347">
        <f>F32*G32</f>
        <v>37.629999999999995</v>
      </c>
      <c r="I32" s="65">
        <f>VLOOKUP(A32,'Matrix Rathaus'!$A$2:$C$11,3,1)</f>
        <v>2</v>
      </c>
      <c r="J32" s="104">
        <f t="shared" si="5"/>
        <v>316.092</v>
      </c>
      <c r="K32" s="352">
        <f>VLOOKUP(A32,'Matrix Rathaus'!$A$2:$C$11,2,1)</f>
        <v>0</v>
      </c>
      <c r="L32" s="104">
        <f t="shared" si="0"/>
        <v>0</v>
      </c>
      <c r="M32" s="66">
        <f>'StdVS Unterhaltsreinigung (UHR)'!$C$57</f>
        <v>0</v>
      </c>
      <c r="N32" s="105">
        <f t="shared" si="1"/>
        <v>0</v>
      </c>
      <c r="O32" s="105">
        <f t="shared" si="2"/>
        <v>0</v>
      </c>
      <c r="P32" s="110">
        <f t="shared" si="3"/>
        <v>0</v>
      </c>
      <c r="R32" s="10"/>
      <c r="S32" s="10"/>
      <c r="T32" s="10"/>
      <c r="U32" s="10"/>
      <c r="V32" s="10"/>
    </row>
    <row r="33" spans="1:22" ht="12.75">
      <c r="A33" s="377" t="s">
        <v>318</v>
      </c>
      <c r="B33" s="389" t="s">
        <v>288</v>
      </c>
      <c r="C33" s="344" t="s">
        <v>382</v>
      </c>
      <c r="D33" s="344" t="s">
        <v>50</v>
      </c>
      <c r="E33" s="344" t="s">
        <v>50</v>
      </c>
      <c r="F33" s="393">
        <v>3.5</v>
      </c>
      <c r="G33" s="393">
        <v>5.3</v>
      </c>
      <c r="H33" s="347">
        <f>F33*G33</f>
        <v>18.55</v>
      </c>
      <c r="I33" s="352" t="s">
        <v>424</v>
      </c>
      <c r="J33" s="104">
        <f t="shared" si="5"/>
        <v>19.477500000000003</v>
      </c>
      <c r="K33" s="352">
        <f>VLOOKUP(A33,'Matrix Rathaus'!$A$2:$C$11,2,1)</f>
        <v>0</v>
      </c>
      <c r="L33" s="104">
        <f t="shared" si="0"/>
        <v>0</v>
      </c>
      <c r="M33" s="66">
        <f>'StdVS Unterhaltsreinigung (UHR)'!$C$57</f>
        <v>0</v>
      </c>
      <c r="N33" s="105">
        <f t="shared" si="1"/>
        <v>0</v>
      </c>
      <c r="O33" s="105">
        <f t="shared" si="2"/>
        <v>0</v>
      </c>
      <c r="P33" s="110">
        <f t="shared" si="3"/>
        <v>0</v>
      </c>
      <c r="R33" s="10"/>
      <c r="S33" s="10"/>
      <c r="T33" s="10"/>
      <c r="U33" s="10"/>
      <c r="V33" s="10"/>
    </row>
    <row r="34" spans="1:22" ht="12.75">
      <c r="A34" s="377" t="s">
        <v>387</v>
      </c>
      <c r="B34" s="389" t="s">
        <v>288</v>
      </c>
      <c r="C34" s="344" t="s">
        <v>383</v>
      </c>
      <c r="D34" s="344" t="s">
        <v>61</v>
      </c>
      <c r="E34" s="344" t="s">
        <v>61</v>
      </c>
      <c r="F34" s="393">
        <v>5.2</v>
      </c>
      <c r="G34" s="393">
        <v>5.3</v>
      </c>
      <c r="H34" s="347">
        <f>F34*G34</f>
        <v>27.56</v>
      </c>
      <c r="I34" s="65" t="str">
        <f>VLOOKUP(A34,'Matrix Rathaus'!$A$2:$C$11,3,1)</f>
        <v>1 x m</v>
      </c>
      <c r="J34" s="104">
        <f t="shared" si="5"/>
        <v>28.938</v>
      </c>
      <c r="K34" s="352">
        <f>VLOOKUP(A34,'Matrix Rathaus'!$A$2:$C$11,2,1)</f>
        <v>0</v>
      </c>
      <c r="L34" s="104">
        <f t="shared" si="0"/>
        <v>0</v>
      </c>
      <c r="M34" s="66">
        <f>'StdVS Unterhaltsreinigung (UHR)'!$C$57</f>
        <v>0</v>
      </c>
      <c r="N34" s="105">
        <f t="shared" si="1"/>
        <v>0</v>
      </c>
      <c r="O34" s="105">
        <f t="shared" si="2"/>
        <v>0</v>
      </c>
      <c r="P34" s="110">
        <f t="shared" si="3"/>
        <v>0</v>
      </c>
      <c r="R34" s="10"/>
      <c r="S34" s="10"/>
      <c r="T34" s="10"/>
      <c r="U34" s="10"/>
      <c r="V34" s="10"/>
    </row>
    <row r="35" spans="1:22" ht="22.5">
      <c r="A35" s="377" t="s">
        <v>38</v>
      </c>
      <c r="B35" s="389" t="s">
        <v>288</v>
      </c>
      <c r="C35" s="344" t="s">
        <v>52</v>
      </c>
      <c r="D35" s="344" t="s">
        <v>264</v>
      </c>
      <c r="E35" s="344" t="s">
        <v>264</v>
      </c>
      <c r="F35" s="571" t="s">
        <v>373</v>
      </c>
      <c r="G35" s="571" t="s">
        <v>374</v>
      </c>
      <c r="H35" s="347">
        <v>5.59</v>
      </c>
      <c r="I35" s="65">
        <f>VLOOKUP(A35,'Matrix Rathaus'!$A$2:$C$11,3,1)</f>
        <v>5</v>
      </c>
      <c r="J35" s="104">
        <f t="shared" si="5"/>
        <v>117.39</v>
      </c>
      <c r="K35" s="352">
        <f>VLOOKUP(A35,'Matrix Rathaus'!$A$2:$C$11,2,1)</f>
        <v>0</v>
      </c>
      <c r="L35" s="104">
        <f t="shared" si="0"/>
        <v>0</v>
      </c>
      <c r="M35" s="66">
        <f>'StdVS Unterhaltsreinigung (UHR)'!$C$57</f>
        <v>0</v>
      </c>
      <c r="N35" s="105">
        <f t="shared" si="1"/>
        <v>0</v>
      </c>
      <c r="O35" s="105">
        <f t="shared" si="2"/>
        <v>0</v>
      </c>
      <c r="P35" s="110">
        <f t="shared" si="3"/>
        <v>0</v>
      </c>
      <c r="R35" s="10"/>
      <c r="S35" s="10"/>
      <c r="T35" s="10"/>
      <c r="U35" s="10"/>
      <c r="V35" s="10"/>
    </row>
    <row r="36" spans="1:22" ht="22.5">
      <c r="A36" s="377" t="s">
        <v>38</v>
      </c>
      <c r="B36" s="389" t="s">
        <v>288</v>
      </c>
      <c r="C36" s="345" t="s">
        <v>53</v>
      </c>
      <c r="D36" s="344" t="s">
        <v>264</v>
      </c>
      <c r="E36" s="344" t="s">
        <v>264</v>
      </c>
      <c r="F36" s="571" t="s">
        <v>373</v>
      </c>
      <c r="G36" s="571" t="s">
        <v>374</v>
      </c>
      <c r="H36" s="347">
        <v>5.27</v>
      </c>
      <c r="I36" s="65">
        <f>VLOOKUP(A36,'Matrix Rathaus'!$A$2:$C$11,3,1)</f>
        <v>5</v>
      </c>
      <c r="J36" s="104">
        <f t="shared" si="5"/>
        <v>110.66999999999999</v>
      </c>
      <c r="K36" s="352">
        <f>VLOOKUP(A36,'Matrix Rathaus'!$A$2:$C$11,2,1)</f>
        <v>0</v>
      </c>
      <c r="L36" s="104">
        <f t="shared" si="0"/>
        <v>0</v>
      </c>
      <c r="M36" s="66">
        <f>'StdVS Unterhaltsreinigung (UHR)'!$C$57</f>
        <v>0</v>
      </c>
      <c r="N36" s="105">
        <f t="shared" si="1"/>
        <v>0</v>
      </c>
      <c r="O36" s="105">
        <f t="shared" si="2"/>
        <v>0</v>
      </c>
      <c r="P36" s="110">
        <f t="shared" si="3"/>
        <v>0</v>
      </c>
      <c r="R36" s="10"/>
      <c r="S36" s="10"/>
      <c r="T36" s="10"/>
      <c r="U36" s="10"/>
      <c r="V36" s="10"/>
    </row>
    <row r="37" spans="1:22" ht="22.5">
      <c r="A37" s="377" t="s">
        <v>390</v>
      </c>
      <c r="B37" s="389" t="s">
        <v>288</v>
      </c>
      <c r="C37" s="345" t="s">
        <v>152</v>
      </c>
      <c r="D37" s="344" t="s">
        <v>276</v>
      </c>
      <c r="E37" s="344" t="s">
        <v>276</v>
      </c>
      <c r="F37" s="571" t="s">
        <v>373</v>
      </c>
      <c r="G37" s="571" t="s">
        <v>374</v>
      </c>
      <c r="H37" s="347">
        <v>133.59</v>
      </c>
      <c r="I37" s="65">
        <f>VLOOKUP(A37,'Matrix Rathaus'!$A$2:$C$11,3,1)</f>
        <v>1</v>
      </c>
      <c r="J37" s="104">
        <f t="shared" si="5"/>
        <v>561.0780000000001</v>
      </c>
      <c r="K37" s="352">
        <f>VLOOKUP(A37,'Matrix Rathaus'!$A$2:$C$11,2,1)</f>
        <v>0</v>
      </c>
      <c r="L37" s="104">
        <f t="shared" si="0"/>
        <v>0</v>
      </c>
      <c r="M37" s="66">
        <f>'StdVS Unterhaltsreinigung (UHR)'!$C$57</f>
        <v>0</v>
      </c>
      <c r="N37" s="105">
        <f t="shared" si="1"/>
        <v>0</v>
      </c>
      <c r="O37" s="105">
        <f t="shared" si="2"/>
        <v>0</v>
      </c>
      <c r="P37" s="110">
        <f t="shared" si="3"/>
        <v>0</v>
      </c>
      <c r="R37" s="10"/>
      <c r="S37" s="10"/>
      <c r="T37" s="10"/>
      <c r="U37" s="10"/>
      <c r="V37" s="10"/>
    </row>
    <row r="38" spans="1:22" ht="22.5">
      <c r="A38" s="377" t="s">
        <v>387</v>
      </c>
      <c r="B38" s="389" t="s">
        <v>288</v>
      </c>
      <c r="C38" s="344" t="s">
        <v>384</v>
      </c>
      <c r="D38" s="344" t="s">
        <v>276</v>
      </c>
      <c r="E38" s="344" t="s">
        <v>276</v>
      </c>
      <c r="F38" s="571" t="s">
        <v>373</v>
      </c>
      <c r="G38" s="571" t="s">
        <v>374</v>
      </c>
      <c r="H38" s="347">
        <v>103.99</v>
      </c>
      <c r="I38" s="65" t="str">
        <f>VLOOKUP(A38,'Matrix Rathaus'!$A$2:$C$11,3,1)</f>
        <v>1 x m</v>
      </c>
      <c r="J38" s="104">
        <f t="shared" si="5"/>
        <v>109.1895</v>
      </c>
      <c r="K38" s="352">
        <f>VLOOKUP(A38,'Matrix Rathaus'!$A$2:$C$11,2,1)</f>
        <v>0</v>
      </c>
      <c r="L38" s="104">
        <f t="shared" si="0"/>
        <v>0</v>
      </c>
      <c r="M38" s="66">
        <f>'StdVS Unterhaltsreinigung (UHR)'!$C$57</f>
        <v>0</v>
      </c>
      <c r="N38" s="105">
        <f t="shared" si="1"/>
        <v>0</v>
      </c>
      <c r="O38" s="105">
        <f t="shared" si="2"/>
        <v>0</v>
      </c>
      <c r="P38" s="110">
        <f t="shared" si="3"/>
        <v>0</v>
      </c>
      <c r="R38" s="10"/>
      <c r="S38" s="10"/>
      <c r="T38" s="10"/>
      <c r="U38" s="10"/>
      <c r="V38" s="10"/>
    </row>
    <row r="39" spans="1:22" ht="13.5" thickBot="1">
      <c r="A39" s="378" t="s">
        <v>387</v>
      </c>
      <c r="B39" s="563" t="s">
        <v>288</v>
      </c>
      <c r="C39" s="558" t="s">
        <v>385</v>
      </c>
      <c r="D39" s="558" t="s">
        <v>276</v>
      </c>
      <c r="E39" s="558" t="s">
        <v>276</v>
      </c>
      <c r="F39" s="574">
        <v>4.9</v>
      </c>
      <c r="G39" s="574">
        <v>5.4</v>
      </c>
      <c r="H39" s="349">
        <f>F39*G39</f>
        <v>26.460000000000004</v>
      </c>
      <c r="I39" s="89" t="str">
        <f>VLOOKUP(A39,'Matrix Rathaus'!$A$2:$C$11,3,1)</f>
        <v>1 x m</v>
      </c>
      <c r="J39" s="111">
        <f t="shared" si="5"/>
        <v>27.783000000000005</v>
      </c>
      <c r="K39" s="565">
        <f>VLOOKUP(A39,'Matrix Rathaus'!$A$2:$C$11,2,1)</f>
        <v>0</v>
      </c>
      <c r="L39" s="111">
        <f t="shared" si="0"/>
        <v>0</v>
      </c>
      <c r="M39" s="557">
        <f>'StdVS Unterhaltsreinigung (UHR)'!$C$57</f>
        <v>0</v>
      </c>
      <c r="N39" s="112">
        <f t="shared" si="1"/>
        <v>0</v>
      </c>
      <c r="O39" s="112">
        <f t="shared" si="2"/>
        <v>0</v>
      </c>
      <c r="P39" s="113">
        <f t="shared" si="3"/>
        <v>0</v>
      </c>
      <c r="R39" s="10"/>
      <c r="S39" s="10"/>
      <c r="T39" s="10"/>
      <c r="U39" s="10"/>
      <c r="V39" s="10"/>
    </row>
    <row r="40" spans="1:22" ht="13.5" thickBot="1">
      <c r="A40" s="99" t="s">
        <v>48</v>
      </c>
      <c r="B40" s="37"/>
      <c r="C40" s="35"/>
      <c r="D40" s="79"/>
      <c r="E40" s="35"/>
      <c r="F40" s="35"/>
      <c r="G40" s="35"/>
      <c r="H40" s="36">
        <f>SUM(H8:H39)</f>
        <v>1228.0995999999998</v>
      </c>
      <c r="I40" s="100"/>
      <c r="J40" s="102">
        <f>SUM(J8:J39)</f>
        <v>6559.187460000002</v>
      </c>
      <c r="K40" s="102" t="e">
        <f>J40/L40</f>
        <v>#DIV/0!</v>
      </c>
      <c r="L40" s="101">
        <f>SUM(L8:L39)</f>
        <v>0</v>
      </c>
      <c r="M40" s="67" t="s">
        <v>8</v>
      </c>
      <c r="N40" s="68">
        <f>SUM(N8:N39)</f>
        <v>0</v>
      </c>
      <c r="O40" s="68">
        <f t="shared" si="2"/>
        <v>0</v>
      </c>
      <c r="P40" s="103">
        <f>N40/J40</f>
        <v>0</v>
      </c>
      <c r="R40" s="10"/>
      <c r="S40" s="10"/>
      <c r="T40" s="10"/>
      <c r="U40" s="10"/>
      <c r="V40" s="10"/>
    </row>
    <row r="41" spans="2:22" ht="27" thickBot="1">
      <c r="B41" s="8"/>
      <c r="D41" s="4"/>
      <c r="H41" s="4"/>
      <c r="I41"/>
      <c r="J41" s="4"/>
      <c r="K41" s="114" t="s">
        <v>58</v>
      </c>
      <c r="M41" s="67" t="s">
        <v>7</v>
      </c>
      <c r="N41" s="68">
        <f>SUM(N40*0.19)</f>
        <v>0</v>
      </c>
      <c r="O41" s="68">
        <f>SUM(O40*0.19)</f>
        <v>0</v>
      </c>
      <c r="R41" s="10"/>
      <c r="S41" s="10"/>
      <c r="T41" s="10"/>
      <c r="U41" s="10"/>
      <c r="V41" s="10"/>
    </row>
    <row r="42" spans="1:18" ht="15.75" customHeight="1" thickBot="1">
      <c r="A42" s="93"/>
      <c r="B42" s="540"/>
      <c r="C42" s="540"/>
      <c r="D42" s="4"/>
      <c r="H42" s="80"/>
      <c r="I42" s="41"/>
      <c r="J42" s="94"/>
      <c r="K42" s="41"/>
      <c r="L42" s="41"/>
      <c r="M42" s="62" t="s">
        <v>9</v>
      </c>
      <c r="N42" s="61">
        <f>SUM(N41+N40)</f>
        <v>0</v>
      </c>
      <c r="O42" s="61">
        <f>SUM(O41+O40)</f>
        <v>0</v>
      </c>
      <c r="P42" s="60"/>
      <c r="Q42" s="34"/>
      <c r="R42" s="10"/>
    </row>
    <row r="43" spans="2:22" ht="12.75">
      <c r="B43" s="1"/>
      <c r="D43" s="4"/>
      <c r="H43" s="4"/>
      <c r="I43"/>
      <c r="J43" s="80"/>
      <c r="K43"/>
      <c r="M43" s="14"/>
      <c r="N43" s="23"/>
      <c r="O43" s="23"/>
      <c r="P43" s="24"/>
      <c r="R43" s="10"/>
      <c r="S43" s="10"/>
      <c r="T43" s="10"/>
      <c r="U43" s="10"/>
      <c r="V43" s="10"/>
    </row>
    <row r="44" spans="1:22" ht="15">
      <c r="A44" s="95"/>
      <c r="B44" s="96"/>
      <c r="C44" s="9"/>
      <c r="D44" s="80"/>
      <c r="E44" s="9"/>
      <c r="F44" s="9"/>
      <c r="G44" s="9"/>
      <c r="H44" s="80"/>
      <c r="I44" s="9"/>
      <c r="J44" s="80"/>
      <c r="K44"/>
      <c r="M44" s="14"/>
      <c r="R44" s="10"/>
      <c r="S44" s="10"/>
      <c r="T44" s="10"/>
      <c r="U44" s="10"/>
      <c r="V44" s="10"/>
    </row>
    <row r="45" spans="1:22" ht="12.75">
      <c r="A45" s="97"/>
      <c r="B45" s="96"/>
      <c r="C45" s="9"/>
      <c r="D45" s="80"/>
      <c r="E45" s="9"/>
      <c r="F45" s="9"/>
      <c r="G45" s="9"/>
      <c r="H45" s="80"/>
      <c r="I45" s="9"/>
      <c r="J45" s="18"/>
      <c r="K45" s="10"/>
      <c r="L45" s="10"/>
      <c r="M45" s="10"/>
      <c r="N45" s="17"/>
      <c r="O45" s="10"/>
      <c r="R45" s="10"/>
      <c r="S45" s="10"/>
      <c r="T45" s="10"/>
      <c r="U45" s="10"/>
      <c r="V45" s="10"/>
    </row>
    <row r="46" spans="1:22" ht="12.75">
      <c r="A46" s="9"/>
      <c r="B46" s="9"/>
      <c r="C46" s="9"/>
      <c r="D46" s="9"/>
      <c r="E46" s="9"/>
      <c r="F46" s="9"/>
      <c r="G46" s="9"/>
      <c r="H46" s="80"/>
      <c r="I46" s="80"/>
      <c r="J46" s="9"/>
      <c r="K46"/>
      <c r="R46" s="10"/>
      <c r="S46" s="10"/>
      <c r="T46" s="10"/>
      <c r="U46" s="10"/>
      <c r="V46" s="10"/>
    </row>
    <row r="47" spans="1:22" ht="12.75">
      <c r="A47" s="9"/>
      <c r="B47" s="9"/>
      <c r="C47" s="9"/>
      <c r="D47" s="9"/>
      <c r="E47" s="9"/>
      <c r="F47" s="9"/>
      <c r="G47" s="9"/>
      <c r="H47" s="80"/>
      <c r="I47" s="80"/>
      <c r="J47" s="9"/>
      <c r="K47"/>
      <c r="R47" s="10"/>
      <c r="S47" s="10"/>
      <c r="T47" s="10"/>
      <c r="U47" s="10"/>
      <c r="V47" s="10"/>
    </row>
    <row r="48" spans="1:22" ht="12.75">
      <c r="A48" s="10"/>
      <c r="B48" s="10"/>
      <c r="C48" s="10"/>
      <c r="D48" s="10"/>
      <c r="E48" s="10"/>
      <c r="F48" s="10"/>
      <c r="G48" s="10"/>
      <c r="H48" s="10"/>
      <c r="I48" s="17"/>
      <c r="J48" s="10"/>
      <c r="K48" s="17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</sheetData>
  <sheetProtection password="CC4A" sheet="1" selectLockedCells="1" sort="0" selectUnlockedCells="1"/>
  <protectedRanges>
    <protectedRange sqref="A7" name="Bereich1_1_1_1"/>
    <protectedRange sqref="A34 A38:A39" name="Bereich1_3_1_1"/>
  </protectedRanges>
  <mergeCells count="7">
    <mergeCell ref="A6:A7"/>
    <mergeCell ref="P6:P7"/>
    <mergeCell ref="L6:L7"/>
    <mergeCell ref="M6:M7"/>
    <mergeCell ref="N6:N7"/>
    <mergeCell ref="O6:O7"/>
    <mergeCell ref="J6:J7"/>
  </mergeCells>
  <dataValidations count="2">
    <dataValidation type="list" allowBlank="1" sqref="C8:C39">
      <formula1>"Büro,Foyer,Besprechung,Kasse,Beh.WC,WC-D,WC-H,Abstellr.,Kassenhalle,Treppenhaus,Empfang"</formula1>
    </dataValidation>
    <dataValidation type="list" allowBlank="1" sqref="B8:B39">
      <formula1>" 1.UG, 2.UG,0.EG,1.OG,2.OG,3.OG,4.OG,5.OG"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  <headerFooter alignWithMargins="0">
    <oddHeader>&amp;LGemeinde Gingen a.d.F.&amp;C&amp;A&amp;REU-Ausschreibung Gebäudereinigung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5F922"/>
  </sheetPr>
  <dimension ref="A1:I29"/>
  <sheetViews>
    <sheetView zoomScale="90" zoomScaleNormal="90" workbookViewId="0" topLeftCell="A1">
      <selection activeCell="C36" sqref="C36"/>
    </sheetView>
  </sheetViews>
  <sheetFormatPr defaultColWidth="11.421875" defaultRowHeight="12.75"/>
  <cols>
    <col min="1" max="1" width="75.140625" style="0" customWidth="1"/>
    <col min="2" max="3" width="11.57421875" style="0" customWidth="1"/>
    <col min="4" max="4" width="11.00390625" style="0" customWidth="1"/>
    <col min="5" max="6" width="11.140625" style="0" customWidth="1"/>
    <col min="7" max="7" width="9.140625" style="0" customWidth="1"/>
    <col min="8" max="8" width="4.57421875" style="0" customWidth="1"/>
    <col min="9" max="9" width="3.57421875" style="0" customWidth="1"/>
    <col min="10" max="10" width="3.7109375" style="0" customWidth="1"/>
  </cols>
  <sheetData>
    <row r="1" spans="1:7" ht="30.75" customHeight="1" thickBot="1">
      <c r="A1" s="139" t="s">
        <v>65</v>
      </c>
      <c r="B1" s="140" t="s">
        <v>12</v>
      </c>
      <c r="C1" s="403" t="s">
        <v>433</v>
      </c>
      <c r="E1" s="3"/>
      <c r="F1" s="10"/>
      <c r="G1" s="11"/>
    </row>
    <row r="2" spans="1:7" ht="12.75">
      <c r="A2" s="413" t="s">
        <v>386</v>
      </c>
      <c r="B2" s="263"/>
      <c r="C2" s="118">
        <v>2</v>
      </c>
      <c r="D2" s="71"/>
      <c r="E2" s="10"/>
      <c r="F2" s="81"/>
      <c r="G2" s="25"/>
    </row>
    <row r="3" spans="1:7" ht="12.75">
      <c r="A3" s="414" t="s">
        <v>387</v>
      </c>
      <c r="B3" s="181"/>
      <c r="C3" s="350" t="s">
        <v>424</v>
      </c>
      <c r="D3" s="71"/>
      <c r="E3" s="10"/>
      <c r="F3" s="81"/>
      <c r="G3" s="25"/>
    </row>
    <row r="4" spans="1:9" ht="14.25" customHeight="1">
      <c r="A4" s="414" t="s">
        <v>388</v>
      </c>
      <c r="B4" s="181"/>
      <c r="C4" s="54">
        <v>2</v>
      </c>
      <c r="D4" s="127"/>
      <c r="E4" s="10"/>
      <c r="F4" s="81"/>
      <c r="G4" s="25"/>
      <c r="H4" s="10"/>
      <c r="I4" s="10"/>
    </row>
    <row r="5" spans="1:9" ht="14.25" customHeight="1">
      <c r="A5" s="541" t="s">
        <v>389</v>
      </c>
      <c r="B5" s="522"/>
      <c r="C5" s="54">
        <v>1</v>
      </c>
      <c r="D5" s="25"/>
      <c r="E5" s="10"/>
      <c r="F5" s="525"/>
      <c r="G5" s="25"/>
      <c r="H5" s="10"/>
      <c r="I5" s="10"/>
    </row>
    <row r="6" spans="1:7" ht="13.5" customHeight="1">
      <c r="A6" s="414" t="s">
        <v>390</v>
      </c>
      <c r="B6" s="181"/>
      <c r="C6" s="54">
        <v>1</v>
      </c>
      <c r="D6" s="46"/>
      <c r="E6" s="10"/>
      <c r="F6" s="81"/>
      <c r="G6" s="25"/>
    </row>
    <row r="7" spans="1:7" ht="13.5" customHeight="1">
      <c r="A7" s="414" t="s">
        <v>391</v>
      </c>
      <c r="B7" s="181"/>
      <c r="C7" s="350" t="s">
        <v>140</v>
      </c>
      <c r="D7" s="71"/>
      <c r="E7" s="10"/>
      <c r="F7" s="81"/>
      <c r="G7" s="25"/>
    </row>
    <row r="8" spans="1:7" s="9" customFormat="1" ht="15.75" customHeight="1">
      <c r="A8" s="414" t="s">
        <v>392</v>
      </c>
      <c r="B8" s="181"/>
      <c r="C8" s="54">
        <v>1</v>
      </c>
      <c r="D8" s="72"/>
      <c r="E8" s="10"/>
      <c r="F8" s="81"/>
      <c r="G8" s="25"/>
    </row>
    <row r="9" spans="1:7" s="9" customFormat="1" ht="15.75" customHeight="1">
      <c r="A9" s="414" t="s">
        <v>38</v>
      </c>
      <c r="B9" s="181"/>
      <c r="C9" s="54">
        <v>5</v>
      </c>
      <c r="D9" s="72"/>
      <c r="E9" s="10"/>
      <c r="F9" s="10"/>
      <c r="G9" s="10"/>
    </row>
    <row r="10" spans="1:7" s="9" customFormat="1" ht="14.25" customHeight="1">
      <c r="A10" s="414" t="s">
        <v>345</v>
      </c>
      <c r="B10" s="181"/>
      <c r="C10" s="54">
        <v>2</v>
      </c>
      <c r="D10" s="71"/>
      <c r="E10" s="74"/>
      <c r="F10" s="74"/>
      <c r="G10" s="10"/>
    </row>
    <row r="11" spans="1:7" s="9" customFormat="1" ht="14.25" customHeight="1" thickBot="1">
      <c r="A11" s="415" t="s">
        <v>318</v>
      </c>
      <c r="B11" s="283"/>
      <c r="C11" s="387" t="s">
        <v>140</v>
      </c>
      <c r="D11" s="71"/>
      <c r="E11" s="74"/>
      <c r="F11" s="74"/>
      <c r="G11" s="10"/>
    </row>
    <row r="12" spans="1:7" s="9" customFormat="1" ht="15.75" customHeight="1">
      <c r="A12" s="10"/>
      <c r="B12" s="81"/>
      <c r="C12" s="82"/>
      <c r="D12" s="73"/>
      <c r="E12" s="74"/>
      <c r="F12" s="74"/>
      <c r="G12" s="10"/>
    </row>
    <row r="13" spans="1:7" s="9" customFormat="1" ht="12.75" customHeight="1">
      <c r="A13" s="10"/>
      <c r="B13" s="81"/>
      <c r="C13" s="82"/>
      <c r="D13" s="73"/>
      <c r="E13" s="74"/>
      <c r="F13" s="74"/>
      <c r="G13" s="10"/>
    </row>
    <row r="14" spans="1:7" s="9" customFormat="1" ht="20.25" customHeight="1" thickBot="1">
      <c r="A14" s="123" t="s">
        <v>27</v>
      </c>
      <c r="B14" s="11"/>
      <c r="C14" s="3"/>
      <c r="D14" s="3"/>
      <c r="E14" s="3"/>
      <c r="F14" s="3"/>
      <c r="G14" s="10"/>
    </row>
    <row r="15" spans="1:7" s="9" customFormat="1" ht="31.5" customHeight="1">
      <c r="A15" s="425" t="s">
        <v>428</v>
      </c>
      <c r="B15" s="619" t="s">
        <v>19</v>
      </c>
      <c r="C15" s="332" t="s">
        <v>76</v>
      </c>
      <c r="D15" s="150" t="s">
        <v>17</v>
      </c>
      <c r="E15" s="150" t="s">
        <v>55</v>
      </c>
      <c r="F15" s="151" t="s">
        <v>56</v>
      </c>
      <c r="G15" s="10"/>
    </row>
    <row r="16" spans="1:7" s="9" customFormat="1" ht="15.75" customHeight="1">
      <c r="A16" s="617" t="s">
        <v>439</v>
      </c>
      <c r="B16" s="135">
        <v>707.37</v>
      </c>
      <c r="C16" s="304"/>
      <c r="D16" s="303" t="e">
        <f>('StdVS Grundreinigung'!C58)/C16</f>
        <v>#DIV/0!</v>
      </c>
      <c r="E16" s="423" t="e">
        <f>B16*D16</f>
        <v>#DIV/0!</v>
      </c>
      <c r="F16" s="620" t="e">
        <f>E16*1.19</f>
        <v>#DIV/0!</v>
      </c>
      <c r="G16" s="10"/>
    </row>
    <row r="17" spans="1:7" s="9" customFormat="1" ht="15.75" customHeight="1">
      <c r="A17" s="617" t="s">
        <v>440</v>
      </c>
      <c r="B17" s="135">
        <v>431.45</v>
      </c>
      <c r="C17" s="304"/>
      <c r="D17" s="303" t="e">
        <f>('StdVS Grundreinigung'!C58)/C17</f>
        <v>#DIV/0!</v>
      </c>
      <c r="E17" s="423" t="e">
        <f>B17*D17</f>
        <v>#DIV/0!</v>
      </c>
      <c r="F17" s="620" t="e">
        <f>E17*1.19</f>
        <v>#DIV/0!</v>
      </c>
      <c r="G17" s="10"/>
    </row>
    <row r="18" spans="1:7" s="9" customFormat="1" ht="15.75" customHeight="1">
      <c r="A18" s="617" t="s">
        <v>448</v>
      </c>
      <c r="B18" s="135">
        <v>61.72</v>
      </c>
      <c r="C18" s="304"/>
      <c r="D18" s="303" t="e">
        <f>('StdVS Grundreinigung'!C58)/C18</f>
        <v>#DIV/0!</v>
      </c>
      <c r="E18" s="423" t="e">
        <f>B18*D18</f>
        <v>#DIV/0!</v>
      </c>
      <c r="F18" s="620" t="e">
        <f>E18*1.19</f>
        <v>#DIV/0!</v>
      </c>
      <c r="G18" s="10"/>
    </row>
    <row r="19" spans="1:7" s="9" customFormat="1" ht="15.75" customHeight="1" thickBot="1">
      <c r="A19" s="617" t="s">
        <v>441</v>
      </c>
      <c r="B19" s="626">
        <v>27.56</v>
      </c>
      <c r="C19" s="266"/>
      <c r="D19" s="267" t="e">
        <f>('StdVS Grundreinigung'!C58)/C19</f>
        <v>#DIV/0!</v>
      </c>
      <c r="E19" s="627" t="e">
        <f>B19*D19</f>
        <v>#DIV/0!</v>
      </c>
      <c r="F19" s="628" t="e">
        <f>E19*1.19</f>
        <v>#DIV/0!</v>
      </c>
      <c r="G19" s="10"/>
    </row>
    <row r="20" spans="1:7" s="9" customFormat="1" ht="15.75" customHeight="1" thickBot="1">
      <c r="A20" s="418" t="s">
        <v>438</v>
      </c>
      <c r="B20" s="419">
        <f>B16+B17+B18+B19</f>
        <v>1228.1</v>
      </c>
      <c r="C20" s="420" t="s">
        <v>57</v>
      </c>
      <c r="D20" s="420" t="s">
        <v>39</v>
      </c>
      <c r="E20" s="421" t="e">
        <f>SUM(E16:E19)</f>
        <v>#DIV/0!</v>
      </c>
      <c r="F20" s="290" t="e">
        <f>SUM(F16:F19)</f>
        <v>#DIV/0!</v>
      </c>
      <c r="G20" s="10"/>
    </row>
    <row r="21" spans="1:7" s="9" customFormat="1" ht="15.75" customHeight="1">
      <c r="A21" s="1" t="s">
        <v>457</v>
      </c>
      <c r="B21" s="81"/>
      <c r="C21" s="82"/>
      <c r="D21" s="73"/>
      <c r="E21" s="74"/>
      <c r="F21" s="74"/>
      <c r="G21" s="10"/>
    </row>
    <row r="22" spans="1:7" s="9" customFormat="1" ht="15.75" customHeight="1">
      <c r="A22" s="1" t="s">
        <v>549</v>
      </c>
      <c r="B22" s="81"/>
      <c r="C22" s="82"/>
      <c r="D22" s="73"/>
      <c r="E22" s="74"/>
      <c r="F22" s="74"/>
      <c r="G22" s="10"/>
    </row>
    <row r="23" spans="1:7" s="9" customFormat="1" ht="15.75" customHeight="1">
      <c r="A23" s="1"/>
      <c r="B23" s="81"/>
      <c r="C23" s="82"/>
      <c r="D23" s="73"/>
      <c r="E23" s="74"/>
      <c r="F23" s="74"/>
      <c r="G23" s="10"/>
    </row>
    <row r="24" spans="1:7" s="9" customFormat="1" ht="15.75" customHeight="1">
      <c r="A24" s="10"/>
      <c r="B24" s="81"/>
      <c r="C24" s="82"/>
      <c r="D24" s="73"/>
      <c r="E24" s="74"/>
      <c r="F24" s="74"/>
      <c r="G24" s="10"/>
    </row>
    <row r="25" spans="1:6" s="9" customFormat="1" ht="18.75" thickBot="1">
      <c r="A25" s="297" t="s">
        <v>138</v>
      </c>
      <c r="B25" s="11"/>
      <c r="E25" s="72"/>
      <c r="F25" s="10"/>
    </row>
    <row r="26" spans="1:6" s="9" customFormat="1" ht="38.25">
      <c r="A26" s="427" t="s">
        <v>428</v>
      </c>
      <c r="B26" s="416" t="s">
        <v>436</v>
      </c>
      <c r="C26" s="153" t="s">
        <v>76</v>
      </c>
      <c r="D26" s="152" t="s">
        <v>73</v>
      </c>
      <c r="E26" s="152" t="s">
        <v>55</v>
      </c>
      <c r="F26" s="155" t="s">
        <v>56</v>
      </c>
    </row>
    <row r="27" spans="1:6" s="9" customFormat="1" ht="15" customHeight="1">
      <c r="A27" s="343" t="s">
        <v>449</v>
      </c>
      <c r="B27" s="135">
        <v>630.79</v>
      </c>
      <c r="C27" s="301"/>
      <c r="D27" s="303" t="e">
        <f>('StdVS Glas-und Fensterreinigung'!C57)/C27</f>
        <v>#DIV/0!</v>
      </c>
      <c r="E27" s="125" t="e">
        <f>B27*D27</f>
        <v>#DIV/0!</v>
      </c>
      <c r="F27" s="136" t="e">
        <f>E27*1.19</f>
        <v>#DIV/0!</v>
      </c>
    </row>
    <row r="28" spans="1:6" s="9" customFormat="1" ht="14.25" customHeight="1" thickBot="1">
      <c r="A28" s="50" t="s">
        <v>62</v>
      </c>
      <c r="B28" s="298" t="s">
        <v>57</v>
      </c>
      <c r="C28" s="299" t="s">
        <v>57</v>
      </c>
      <c r="D28" s="302" t="s">
        <v>39</v>
      </c>
      <c r="E28" s="157"/>
      <c r="F28" s="158">
        <f>E28*1.19</f>
        <v>0</v>
      </c>
    </row>
    <row r="29" spans="1:6" s="9" customFormat="1" ht="13.5" thickBot="1">
      <c r="A29" s="134" t="s">
        <v>437</v>
      </c>
      <c r="B29" s="169">
        <f>B27</f>
        <v>630.79</v>
      </c>
      <c r="C29" s="300" t="s">
        <v>57</v>
      </c>
      <c r="D29" s="300" t="s">
        <v>39</v>
      </c>
      <c r="E29" s="47" t="e">
        <f>SUM(E27:E28)</f>
        <v>#DIV/0!</v>
      </c>
      <c r="F29" s="48" t="e">
        <f>SUM(F27:F28)</f>
        <v>#DIV/0!</v>
      </c>
    </row>
  </sheetData>
  <sheetProtection selectLockedCells="1"/>
  <protectedRanges>
    <protectedRange sqref="E10:F11" name="Bereich1"/>
    <protectedRange sqref="D12:F19 D21:F24 D27" name="Bereich1_2"/>
    <protectedRange sqref="D28:D29 D20" name="Bereich1_1_2"/>
    <protectedRange sqref="E28" name="Bereich1_1_1_1_1_1"/>
    <protectedRange sqref="A28:C29 A20:C20" name="Bereich1_1_2_1"/>
    <protectedRange sqref="A3" name="Bereich1_3_1_1"/>
    <protectedRange sqref="E3" name="Bereich1_3_1_1_1"/>
    <protectedRange sqref="A16:A18" name="Bereich1_1_1_2"/>
    <protectedRange sqref="A19" name="Bereich1_1_1_2_1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&amp;LGemeinde Gingen a.d.F.&amp;C&amp;A&amp;REU-Ausschreibung Gebäudereinigung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2"/>
  <sheetViews>
    <sheetView zoomScale="90" zoomScaleNormal="90" zoomScaleSheetLayoutView="100" workbookViewId="0" topLeftCell="A1">
      <selection activeCell="A19" sqref="A19"/>
    </sheetView>
  </sheetViews>
  <sheetFormatPr defaultColWidth="11.421875" defaultRowHeight="12.75"/>
  <cols>
    <col min="1" max="1" width="54.140625" style="0" customWidth="1"/>
    <col min="2" max="2" width="21.28125" style="0" customWidth="1"/>
    <col min="3" max="3" width="24.421875" style="0" customWidth="1"/>
    <col min="4" max="4" width="12.7109375" style="0" hidden="1" customWidth="1"/>
    <col min="5" max="5" width="9.28125" style="45" customWidth="1"/>
    <col min="6" max="6" width="9.8515625" style="0" customWidth="1"/>
    <col min="7" max="7" width="10.00390625" style="4" customWidth="1"/>
    <col min="8" max="8" width="11.140625" style="0" customWidth="1"/>
    <col min="9" max="9" width="10.140625" style="4" customWidth="1"/>
    <col min="10" max="10" width="10.57421875" style="0" customWidth="1"/>
    <col min="11" max="11" width="13.421875" style="0" customWidth="1"/>
    <col min="12" max="12" width="13.7109375" style="0" customWidth="1"/>
    <col min="13" max="13" width="15.00390625" style="0" customWidth="1"/>
    <col min="14" max="14" width="13.00390625" style="0" customWidth="1"/>
    <col min="15" max="15" width="10.7109375" style="0" customWidth="1"/>
  </cols>
  <sheetData>
    <row r="1" spans="1:20" ht="12.75">
      <c r="A1" s="1" t="s">
        <v>10</v>
      </c>
      <c r="B1" s="27" t="s">
        <v>144</v>
      </c>
      <c r="D1" s="5"/>
      <c r="F1" s="5"/>
      <c r="G1" s="3"/>
      <c r="H1" s="4"/>
      <c r="I1"/>
      <c r="P1" s="10"/>
      <c r="Q1" s="10"/>
      <c r="R1" s="10"/>
      <c r="S1" s="10"/>
      <c r="T1" s="10"/>
    </row>
    <row r="2" spans="1:20" ht="12.75">
      <c r="A2" s="1" t="s">
        <v>34</v>
      </c>
      <c r="B2" s="27" t="s">
        <v>536</v>
      </c>
      <c r="C2" s="41"/>
      <c r="D2" s="63"/>
      <c r="F2" s="5"/>
      <c r="G2" s="3"/>
      <c r="H2" s="4"/>
      <c r="I2"/>
      <c r="P2" s="10"/>
      <c r="Q2" s="10"/>
      <c r="R2" s="10"/>
      <c r="S2" s="10"/>
      <c r="T2" s="10"/>
    </row>
    <row r="3" spans="1:20" ht="12.75">
      <c r="A3" s="1" t="s">
        <v>23</v>
      </c>
      <c r="B3" s="27" t="s">
        <v>545</v>
      </c>
      <c r="C3" s="41"/>
      <c r="D3" s="5"/>
      <c r="F3" s="5"/>
      <c r="G3" s="3"/>
      <c r="H3" s="4"/>
      <c r="I3"/>
      <c r="P3" s="10"/>
      <c r="Q3" s="10"/>
      <c r="R3" s="10"/>
      <c r="S3" s="10"/>
      <c r="T3" s="10"/>
    </row>
    <row r="4" spans="1:20" ht="17.25">
      <c r="A4" s="1" t="s">
        <v>29</v>
      </c>
      <c r="B4" s="396"/>
      <c r="C4" s="338"/>
      <c r="D4" s="17"/>
      <c r="E4" s="339"/>
      <c r="F4" s="17"/>
      <c r="G4" s="340"/>
      <c r="H4" s="4"/>
      <c r="I4"/>
      <c r="P4" s="10"/>
      <c r="Q4" s="10"/>
      <c r="R4" s="10"/>
      <c r="S4" s="10"/>
      <c r="T4" s="10"/>
    </row>
    <row r="5" spans="1:20" ht="18" thickBot="1">
      <c r="A5" s="1" t="s">
        <v>11</v>
      </c>
      <c r="B5" s="77">
        <v>52</v>
      </c>
      <c r="C5" s="338"/>
      <c r="D5" s="86"/>
      <c r="E5" s="339"/>
      <c r="F5" s="519"/>
      <c r="G5" s="519"/>
      <c r="H5" s="519"/>
      <c r="I5" s="519"/>
      <c r="N5" s="2"/>
      <c r="P5" s="10"/>
      <c r="Q5" s="10"/>
      <c r="R5" s="10"/>
      <c r="S5" s="10"/>
      <c r="T5" s="10"/>
    </row>
    <row r="6" spans="1:20" ht="20.25">
      <c r="A6" s="684" t="s">
        <v>14</v>
      </c>
      <c r="B6" s="284" t="s">
        <v>519</v>
      </c>
      <c r="C6" s="30" t="s">
        <v>15</v>
      </c>
      <c r="D6" s="31" t="s">
        <v>25</v>
      </c>
      <c r="E6" s="29" t="s">
        <v>28</v>
      </c>
      <c r="F6" s="31" t="s">
        <v>26</v>
      </c>
      <c r="G6" s="32" t="s">
        <v>13</v>
      </c>
      <c r="H6" s="686" t="s">
        <v>44</v>
      </c>
      <c r="I6" s="30" t="s">
        <v>2</v>
      </c>
      <c r="J6" s="684" t="s">
        <v>49</v>
      </c>
      <c r="K6" s="684" t="s">
        <v>32</v>
      </c>
      <c r="L6" s="684" t="s">
        <v>5</v>
      </c>
      <c r="M6" s="684" t="s">
        <v>4</v>
      </c>
      <c r="N6" s="684" t="s">
        <v>6</v>
      </c>
      <c r="P6" s="10"/>
      <c r="Q6" s="10"/>
      <c r="R6" s="10"/>
      <c r="S6" s="10"/>
      <c r="T6" s="10"/>
    </row>
    <row r="7" spans="1:20" ht="13.5" thickBot="1">
      <c r="A7" s="685"/>
      <c r="B7" s="546" t="s">
        <v>520</v>
      </c>
      <c r="C7" s="6"/>
      <c r="D7" s="7" t="s">
        <v>1</v>
      </c>
      <c r="E7" s="52"/>
      <c r="F7" s="7" t="s">
        <v>1</v>
      </c>
      <c r="G7" s="98"/>
      <c r="H7" s="687"/>
      <c r="I7" s="53" t="s">
        <v>3</v>
      </c>
      <c r="J7" s="685"/>
      <c r="K7" s="685"/>
      <c r="L7" s="685"/>
      <c r="M7" s="685"/>
      <c r="N7" s="685"/>
      <c r="P7" s="10"/>
      <c r="Q7" s="10"/>
      <c r="R7" s="10"/>
      <c r="S7" s="10"/>
      <c r="T7" s="10"/>
    </row>
    <row r="8" spans="1:20" ht="12.75">
      <c r="A8" s="376" t="s">
        <v>43</v>
      </c>
      <c r="B8" s="392" t="s">
        <v>16</v>
      </c>
      <c r="C8" s="577" t="s">
        <v>239</v>
      </c>
      <c r="D8" s="578"/>
      <c r="E8" s="542" t="s">
        <v>22</v>
      </c>
      <c r="F8" s="579">
        <v>14.39</v>
      </c>
      <c r="G8" s="106">
        <f>VLOOKUP(A8,'Matrix Baubetriebshof'!$A$2:$C$7,3,1)</f>
        <v>1</v>
      </c>
      <c r="H8" s="107">
        <f aca="true" t="shared" si="0" ref="H8:H13">SUM(F8*(IF(G8=1,4.2,(IF(G8=2,8.42,(IF(G8=2.5,8.3,(IF(G8=3,12.9,(IF(G8=5,21,(IF(G8=0.25,0.9,(IF(G8="4 x j",0.36)))))))))))))))</f>
        <v>60.438</v>
      </c>
      <c r="I8" s="596">
        <f>VLOOKUP(A8,'Matrix Baubetriebshof'!$A$2:$C$7,2,1)</f>
        <v>0</v>
      </c>
      <c r="J8" s="107">
        <f aca="true" t="shared" si="1" ref="J8:J13">IF(I8&gt;0,SUM(H8/I8),0)</f>
        <v>0</v>
      </c>
      <c r="K8" s="551">
        <f>'StdVS Unterhaltsreinigung (UHR)'!$C$57</f>
        <v>0</v>
      </c>
      <c r="L8" s="108">
        <f aca="true" t="shared" si="2" ref="L8:L13">SUM(J8*K8)</f>
        <v>0</v>
      </c>
      <c r="M8" s="580">
        <f aca="true" t="shared" si="3" ref="M8:M13">L8*12</f>
        <v>0</v>
      </c>
      <c r="N8" s="575">
        <f aca="true" t="shared" si="4" ref="N8:N13">IF(H8&gt;0,L8/H8,0)</f>
        <v>0</v>
      </c>
      <c r="P8" s="10"/>
      <c r="Q8" s="10"/>
      <c r="R8" s="10"/>
      <c r="S8" s="10"/>
      <c r="T8" s="10"/>
    </row>
    <row r="9" spans="1:20" ht="12.75">
      <c r="A9" s="377" t="s">
        <v>393</v>
      </c>
      <c r="B9" s="389" t="s">
        <v>16</v>
      </c>
      <c r="C9" s="357" t="s">
        <v>240</v>
      </c>
      <c r="D9" s="90"/>
      <c r="E9" s="561" t="s">
        <v>22</v>
      </c>
      <c r="F9" s="358">
        <v>23.99</v>
      </c>
      <c r="G9" s="65">
        <f>VLOOKUP(A9,'Matrix Baubetriebshof'!$A$2:$C$7,3,1)</f>
        <v>1</v>
      </c>
      <c r="H9" s="104">
        <f t="shared" si="0"/>
        <v>100.758</v>
      </c>
      <c r="I9" s="352">
        <f>VLOOKUP(A9,'Matrix Baubetriebshof'!$A$2:$C$7,2,1)</f>
        <v>0</v>
      </c>
      <c r="J9" s="104">
        <f t="shared" si="1"/>
        <v>0</v>
      </c>
      <c r="K9" s="66">
        <f>'StdVS Unterhaltsreinigung (UHR)'!$C$57</f>
        <v>0</v>
      </c>
      <c r="L9" s="105">
        <f t="shared" si="2"/>
        <v>0</v>
      </c>
      <c r="M9" s="581">
        <f t="shared" si="3"/>
        <v>0</v>
      </c>
      <c r="N9" s="576">
        <f t="shared" si="4"/>
        <v>0</v>
      </c>
      <c r="P9" s="10"/>
      <c r="Q9" s="10"/>
      <c r="R9" s="10"/>
      <c r="S9" s="10"/>
      <c r="T9" s="10"/>
    </row>
    <row r="10" spans="1:20" ht="12.75">
      <c r="A10" s="377" t="s">
        <v>293</v>
      </c>
      <c r="B10" s="389" t="s">
        <v>16</v>
      </c>
      <c r="C10" s="357" t="s">
        <v>241</v>
      </c>
      <c r="D10" s="90"/>
      <c r="E10" s="561" t="s">
        <v>22</v>
      </c>
      <c r="F10" s="358">
        <v>33.23</v>
      </c>
      <c r="G10" s="65">
        <f>VLOOKUP(A10,'Matrix Baubetriebshof'!$A$2:$C$7,3,1)</f>
        <v>1</v>
      </c>
      <c r="H10" s="104">
        <f t="shared" si="0"/>
        <v>139.566</v>
      </c>
      <c r="I10" s="352">
        <f>VLOOKUP(A10,'Matrix Baubetriebshof'!$A$2:$C$7,2,1)</f>
        <v>0</v>
      </c>
      <c r="J10" s="104">
        <f t="shared" si="1"/>
        <v>0</v>
      </c>
      <c r="K10" s="66">
        <f>'StdVS Unterhaltsreinigung (UHR)'!$C$57</f>
        <v>0</v>
      </c>
      <c r="L10" s="105">
        <f t="shared" si="2"/>
        <v>0</v>
      </c>
      <c r="M10" s="581">
        <f t="shared" si="3"/>
        <v>0</v>
      </c>
      <c r="N10" s="576">
        <f t="shared" si="4"/>
        <v>0</v>
      </c>
      <c r="P10" s="10"/>
      <c r="Q10" s="10"/>
      <c r="R10" s="10"/>
      <c r="S10" s="10"/>
      <c r="T10" s="10"/>
    </row>
    <row r="11" spans="1:20" ht="12.75">
      <c r="A11" s="377" t="s">
        <v>139</v>
      </c>
      <c r="B11" s="389" t="s">
        <v>16</v>
      </c>
      <c r="C11" s="357" t="s">
        <v>242</v>
      </c>
      <c r="D11" s="90"/>
      <c r="E11" s="561" t="s">
        <v>22</v>
      </c>
      <c r="F11" s="358">
        <v>12.3</v>
      </c>
      <c r="G11" s="65">
        <f>VLOOKUP(A11,'Matrix Baubetriebshof'!$A$2:$C$7,3,1)</f>
        <v>1</v>
      </c>
      <c r="H11" s="104">
        <f t="shared" si="0"/>
        <v>51.660000000000004</v>
      </c>
      <c r="I11" s="352">
        <f>VLOOKUP(A11,'Matrix Baubetriebshof'!$A$2:$C$7,2,1)</f>
        <v>0</v>
      </c>
      <c r="J11" s="104">
        <f t="shared" si="1"/>
        <v>0</v>
      </c>
      <c r="K11" s="66">
        <f>'StdVS Unterhaltsreinigung (UHR)'!$C$57</f>
        <v>0</v>
      </c>
      <c r="L11" s="105">
        <f t="shared" si="2"/>
        <v>0</v>
      </c>
      <c r="M11" s="581">
        <f t="shared" si="3"/>
        <v>0</v>
      </c>
      <c r="N11" s="576">
        <f t="shared" si="4"/>
        <v>0</v>
      </c>
      <c r="P11" s="10"/>
      <c r="Q11" s="10"/>
      <c r="R11" s="10"/>
      <c r="S11" s="10"/>
      <c r="T11" s="10"/>
    </row>
    <row r="12" spans="1:20" ht="12.75">
      <c r="A12" s="377" t="s">
        <v>36</v>
      </c>
      <c r="B12" s="389" t="s">
        <v>16</v>
      </c>
      <c r="C12" s="357" t="s">
        <v>243</v>
      </c>
      <c r="D12" s="90"/>
      <c r="E12" s="561" t="s">
        <v>22</v>
      </c>
      <c r="F12" s="358">
        <v>24.86</v>
      </c>
      <c r="G12" s="65">
        <f>VLOOKUP(A12,'Matrix Baubetriebshof'!$A$2:$C$7,3,1)</f>
        <v>1</v>
      </c>
      <c r="H12" s="104">
        <f t="shared" si="0"/>
        <v>104.412</v>
      </c>
      <c r="I12" s="352">
        <f>VLOOKUP(A12,'Matrix Baubetriebshof'!$A$2:$C$7,2,1)</f>
        <v>0</v>
      </c>
      <c r="J12" s="104">
        <f t="shared" si="1"/>
        <v>0</v>
      </c>
      <c r="K12" s="66">
        <f>'StdVS Unterhaltsreinigung (UHR)'!$C$57</f>
        <v>0</v>
      </c>
      <c r="L12" s="105">
        <f t="shared" si="2"/>
        <v>0</v>
      </c>
      <c r="M12" s="581">
        <f t="shared" si="3"/>
        <v>0</v>
      </c>
      <c r="N12" s="576">
        <f t="shared" si="4"/>
        <v>0</v>
      </c>
      <c r="P12" s="10"/>
      <c r="Q12" s="10"/>
      <c r="R12" s="10"/>
      <c r="S12" s="10"/>
      <c r="T12" s="10"/>
    </row>
    <row r="13" spans="1:20" ht="13.5" thickBot="1">
      <c r="A13" s="378" t="s">
        <v>38</v>
      </c>
      <c r="B13" s="563" t="s">
        <v>16</v>
      </c>
      <c r="C13" s="582" t="s">
        <v>226</v>
      </c>
      <c r="D13" s="583"/>
      <c r="E13" s="586" t="s">
        <v>22</v>
      </c>
      <c r="F13" s="584">
        <v>14.12</v>
      </c>
      <c r="G13" s="89">
        <f>VLOOKUP(A13,'Matrix Baubetriebshof'!$A$2:$C$7,3,1)</f>
        <v>1</v>
      </c>
      <c r="H13" s="111">
        <f t="shared" si="0"/>
        <v>59.304</v>
      </c>
      <c r="I13" s="565">
        <f>VLOOKUP(A13,'Matrix Baubetriebshof'!$A$2:$C$7,2,1)</f>
        <v>0</v>
      </c>
      <c r="J13" s="111">
        <f t="shared" si="1"/>
        <v>0</v>
      </c>
      <c r="K13" s="557">
        <f>'StdVS Unterhaltsreinigung (UHR)'!$C$57</f>
        <v>0</v>
      </c>
      <c r="L13" s="112">
        <f t="shared" si="2"/>
        <v>0</v>
      </c>
      <c r="M13" s="585">
        <f t="shared" si="3"/>
        <v>0</v>
      </c>
      <c r="N13" s="576">
        <f t="shared" si="4"/>
        <v>0</v>
      </c>
      <c r="P13" s="10"/>
      <c r="Q13" s="10"/>
      <c r="R13" s="10"/>
      <c r="S13" s="10"/>
      <c r="T13" s="10"/>
    </row>
    <row r="14" spans="1:20" ht="13.5" thickBot="1">
      <c r="A14" s="99" t="s">
        <v>48</v>
      </c>
      <c r="B14" s="37"/>
      <c r="C14" s="35"/>
      <c r="D14" s="79"/>
      <c r="E14" s="117"/>
      <c r="F14" s="36">
        <f>SUM(F8:F13)</f>
        <v>122.88999999999999</v>
      </c>
      <c r="G14" s="100"/>
      <c r="H14" s="101">
        <f>SUM(H8:H13)</f>
        <v>516.138</v>
      </c>
      <c r="I14" s="102" t="e">
        <f>H14/J14</f>
        <v>#DIV/0!</v>
      </c>
      <c r="J14" s="101">
        <f>SUM(J8:J13)</f>
        <v>0</v>
      </c>
      <c r="K14" s="67" t="s">
        <v>8</v>
      </c>
      <c r="L14" s="68">
        <f>SUM(L8:L13)</f>
        <v>0</v>
      </c>
      <c r="M14" s="68">
        <f>L14*12</f>
        <v>0</v>
      </c>
      <c r="N14" s="103">
        <f>L14/H14</f>
        <v>0</v>
      </c>
      <c r="P14" s="10"/>
      <c r="Q14" s="10"/>
      <c r="R14" s="10"/>
      <c r="S14" s="10"/>
      <c r="T14" s="10"/>
    </row>
    <row r="15" spans="2:20" ht="27" thickBot="1">
      <c r="B15" s="8"/>
      <c r="D15" s="4"/>
      <c r="F15" s="4"/>
      <c r="G15"/>
      <c r="H15" s="4"/>
      <c r="I15" s="114" t="s">
        <v>58</v>
      </c>
      <c r="K15" s="67" t="s">
        <v>7</v>
      </c>
      <c r="L15" s="68">
        <f>SUM(L14*0.19)</f>
        <v>0</v>
      </c>
      <c r="M15" s="68">
        <f>SUM(M14*0.19)</f>
        <v>0</v>
      </c>
      <c r="P15" s="10"/>
      <c r="Q15" s="10"/>
      <c r="R15" s="10"/>
      <c r="S15" s="10"/>
      <c r="T15" s="10"/>
    </row>
    <row r="16" spans="1:16" ht="15.75" customHeight="1" thickBot="1">
      <c r="A16" s="93"/>
      <c r="B16" s="95"/>
      <c r="C16" s="537"/>
      <c r="D16" s="538"/>
      <c r="E16" s="539"/>
      <c r="F16" s="17"/>
      <c r="G16" s="9"/>
      <c r="H16" s="4"/>
      <c r="I16" s="41"/>
      <c r="J16" s="41"/>
      <c r="K16" s="62" t="s">
        <v>9</v>
      </c>
      <c r="L16" s="61">
        <f>SUM(L15+L14)</f>
        <v>0</v>
      </c>
      <c r="M16" s="61">
        <f>SUM(M15+M14)</f>
        <v>0</v>
      </c>
      <c r="N16" s="60"/>
      <c r="O16" s="34"/>
      <c r="P16" s="10"/>
    </row>
    <row r="17" spans="2:20" ht="15">
      <c r="B17" s="95"/>
      <c r="C17" s="9"/>
      <c r="D17" s="80"/>
      <c r="E17" s="72"/>
      <c r="F17" s="80"/>
      <c r="G17" s="9"/>
      <c r="H17" s="18"/>
      <c r="I17"/>
      <c r="K17" s="14"/>
      <c r="L17" s="23"/>
      <c r="M17" s="23"/>
      <c r="N17" s="24"/>
      <c r="P17" s="10"/>
      <c r="Q17" s="10"/>
      <c r="R17" s="10"/>
      <c r="S17" s="10"/>
      <c r="T17" s="10"/>
    </row>
    <row r="18" spans="1:20" ht="15">
      <c r="A18" s="69"/>
      <c r="B18" s="95"/>
      <c r="C18" s="9"/>
      <c r="D18" s="9"/>
      <c r="E18" s="72"/>
      <c r="F18" s="9"/>
      <c r="G18" s="80"/>
      <c r="I18"/>
      <c r="K18" s="14"/>
      <c r="P18" s="10"/>
      <c r="Q18" s="10"/>
      <c r="R18" s="10"/>
      <c r="S18" s="10"/>
      <c r="T18" s="10"/>
    </row>
    <row r="19" spans="1:20" ht="12.75">
      <c r="A19" s="1"/>
      <c r="B19" s="27"/>
      <c r="I19" s="10"/>
      <c r="J19" s="10"/>
      <c r="K19" s="10"/>
      <c r="L19" s="17"/>
      <c r="M19" s="10"/>
      <c r="P19" s="10"/>
      <c r="Q19" s="10"/>
      <c r="R19" s="10"/>
      <c r="S19" s="10"/>
      <c r="T19" s="10"/>
    </row>
    <row r="20" spans="6:20" ht="12.75">
      <c r="F20" s="4"/>
      <c r="I20"/>
      <c r="P20" s="10"/>
      <c r="Q20" s="10"/>
      <c r="R20" s="10"/>
      <c r="S20" s="10"/>
      <c r="T20" s="10"/>
    </row>
    <row r="21" spans="6:20" ht="12.75">
      <c r="F21" s="4"/>
      <c r="I21"/>
      <c r="P21" s="10"/>
      <c r="Q21" s="10"/>
      <c r="R21" s="10"/>
      <c r="S21" s="10"/>
      <c r="T21" s="10"/>
    </row>
    <row r="22" spans="1:20" ht="12.75">
      <c r="A22" s="10"/>
      <c r="B22" s="10"/>
      <c r="C22" s="10"/>
      <c r="D22" s="10"/>
      <c r="E22" s="25"/>
      <c r="F22" s="10"/>
      <c r="G22" s="17"/>
      <c r="H22" s="10"/>
      <c r="I22" s="17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sheetProtection password="CC4A" sheet="1" selectLockedCells="1" sort="0" selectUnlockedCells="1"/>
  <protectedRanges>
    <protectedRange sqref="A7" name="Bereich1_1_1_1"/>
  </protectedRanges>
  <mergeCells count="7">
    <mergeCell ref="A6:A7"/>
    <mergeCell ref="N6:N7"/>
    <mergeCell ref="J6:J7"/>
    <mergeCell ref="K6:K7"/>
    <mergeCell ref="L6:L7"/>
    <mergeCell ref="M6:M7"/>
    <mergeCell ref="H6:H7"/>
  </mergeCells>
  <dataValidations count="1">
    <dataValidation type="list" allowBlank="1" sqref="B8:C13">
      <formula1>" 1.UG, 2.UG,0.EG,1.OG,2.OG,3.OG,4.OG,5.OG"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  <headerFooter alignWithMargins="0">
    <oddHeader>&amp;LGemeinde Gingen a.d.F.&amp;C&amp;A&amp;REU-Ausschreibung Gebäudereinigung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5F922"/>
  </sheetPr>
  <dimension ref="A1:H19"/>
  <sheetViews>
    <sheetView zoomScale="90" zoomScaleNormal="90" workbookViewId="0" topLeftCell="A7">
      <selection activeCell="B22" sqref="B22"/>
    </sheetView>
  </sheetViews>
  <sheetFormatPr defaultColWidth="11.421875" defaultRowHeight="12.75"/>
  <cols>
    <col min="1" max="1" width="70.7109375" style="0" customWidth="1"/>
    <col min="2" max="3" width="11.28125" style="0" customWidth="1"/>
    <col min="4" max="4" width="12.00390625" style="0" customWidth="1"/>
    <col min="5" max="5" width="11.7109375" style="0" customWidth="1"/>
    <col min="6" max="6" width="13.57421875" style="0" customWidth="1"/>
    <col min="7" max="7" width="56.140625" style="0" customWidth="1"/>
  </cols>
  <sheetData>
    <row r="1" spans="1:7" ht="30.75" customHeight="1" thickBot="1">
      <c r="A1" s="83" t="s">
        <v>0</v>
      </c>
      <c r="B1" s="51" t="s">
        <v>12</v>
      </c>
      <c r="C1" s="403" t="s">
        <v>433</v>
      </c>
      <c r="E1" s="3"/>
      <c r="F1" s="10"/>
      <c r="G1" s="10"/>
    </row>
    <row r="2" spans="1:7" ht="12.75">
      <c r="A2" s="376" t="s">
        <v>43</v>
      </c>
      <c r="B2" s="263"/>
      <c r="C2" s="118">
        <v>1</v>
      </c>
      <c r="D2" s="71"/>
      <c r="E2" s="10"/>
      <c r="F2" s="70"/>
      <c r="G2" s="10"/>
    </row>
    <row r="3" spans="1:7" ht="12.75">
      <c r="A3" s="377" t="s">
        <v>139</v>
      </c>
      <c r="B3" s="181"/>
      <c r="C3" s="54">
        <v>1</v>
      </c>
      <c r="D3" s="46"/>
      <c r="E3" s="10"/>
      <c r="F3" s="70"/>
      <c r="G3" s="10"/>
    </row>
    <row r="4" spans="1:7" s="9" customFormat="1" ht="15.75" customHeight="1">
      <c r="A4" s="377" t="s">
        <v>393</v>
      </c>
      <c r="B4" s="181"/>
      <c r="C4" s="54">
        <v>1</v>
      </c>
      <c r="D4" s="72"/>
      <c r="E4" s="15"/>
      <c r="F4" s="10"/>
      <c r="G4" s="10"/>
    </row>
    <row r="5" spans="1:7" s="9" customFormat="1" ht="15.75" customHeight="1">
      <c r="A5" s="377" t="s">
        <v>38</v>
      </c>
      <c r="B5" s="181"/>
      <c r="C5" s="54">
        <v>1</v>
      </c>
      <c r="D5" s="72"/>
      <c r="E5" s="15"/>
      <c r="F5" s="10"/>
      <c r="G5" s="10"/>
    </row>
    <row r="6" spans="1:7" s="9" customFormat="1" ht="15.75" customHeight="1">
      <c r="A6" s="377" t="s">
        <v>36</v>
      </c>
      <c r="B6" s="181"/>
      <c r="C6" s="54">
        <v>1</v>
      </c>
      <c r="D6" s="72"/>
      <c r="E6" s="15"/>
      <c r="F6" s="10"/>
      <c r="G6" s="10"/>
    </row>
    <row r="7" spans="1:7" s="9" customFormat="1" ht="17.25" customHeight="1" thickBot="1">
      <c r="A7" s="378" t="s">
        <v>293</v>
      </c>
      <c r="B7" s="283"/>
      <c r="C7" s="55">
        <v>1</v>
      </c>
      <c r="D7" s="73"/>
      <c r="E7" s="74"/>
      <c r="F7" s="74"/>
      <c r="G7" s="10"/>
    </row>
    <row r="8" spans="1:7" s="9" customFormat="1" ht="14.25" customHeight="1">
      <c r="A8" s="10"/>
      <c r="B8" s="81"/>
      <c r="C8" s="82"/>
      <c r="D8" s="73"/>
      <c r="E8" s="74"/>
      <c r="F8" s="74"/>
      <c r="G8" s="10"/>
    </row>
    <row r="9" spans="1:7" s="9" customFormat="1" ht="11.25" customHeight="1">
      <c r="A9" s="10"/>
      <c r="B9" s="81"/>
      <c r="C9" s="82"/>
      <c r="D9" s="73"/>
      <c r="E9" s="74"/>
      <c r="F9" s="74"/>
      <c r="G9" s="10"/>
    </row>
    <row r="10" spans="1:7" ht="18.75" thickBot="1">
      <c r="A10" s="49" t="s">
        <v>27</v>
      </c>
      <c r="B10" s="11"/>
      <c r="C10" s="308"/>
      <c r="D10" s="308"/>
      <c r="E10" s="92"/>
      <c r="F10" s="11"/>
      <c r="G10" s="10"/>
    </row>
    <row r="11" spans="1:8" ht="43.5" thickBot="1">
      <c r="A11" s="425" t="s">
        <v>428</v>
      </c>
      <c r="B11" s="170" t="s">
        <v>19</v>
      </c>
      <c r="C11" s="291" t="s">
        <v>76</v>
      </c>
      <c r="D11" s="292" t="s">
        <v>17</v>
      </c>
      <c r="E11" s="171" t="s">
        <v>55</v>
      </c>
      <c r="F11" s="172" t="s">
        <v>56</v>
      </c>
      <c r="G11" s="10"/>
      <c r="H11" s="10"/>
    </row>
    <row r="12" spans="1:8" ht="18.75" customHeight="1" thickBot="1">
      <c r="A12" s="402" t="s">
        <v>435</v>
      </c>
      <c r="B12" s="168">
        <v>122.89</v>
      </c>
      <c r="C12" s="287"/>
      <c r="D12" s="288" t="e">
        <f>('StdVS Grundreinigung'!C58)/C12</f>
        <v>#DIV/0!</v>
      </c>
      <c r="E12" s="163" t="e">
        <f>B12*D12</f>
        <v>#DIV/0!</v>
      </c>
      <c r="F12" s="48" t="e">
        <f>E12*1.19</f>
        <v>#DIV/0!</v>
      </c>
      <c r="G12" s="10"/>
      <c r="H12" s="10"/>
    </row>
    <row r="13" spans="1:8" ht="12.75">
      <c r="A13" s="1"/>
      <c r="B13" s="58"/>
      <c r="C13" s="58"/>
      <c r="D13" s="58"/>
      <c r="E13" s="58"/>
      <c r="F13" s="58"/>
      <c r="G13" s="10"/>
      <c r="H13" s="10"/>
    </row>
    <row r="14" spans="1:8" ht="12.75">
      <c r="A14" s="1"/>
      <c r="G14" s="10"/>
      <c r="H14" s="10"/>
    </row>
    <row r="15" spans="1:8" ht="18.75" thickBot="1">
      <c r="A15" s="297" t="s">
        <v>138</v>
      </c>
      <c r="B15" s="11"/>
      <c r="E15" s="45"/>
      <c r="F15" s="3"/>
      <c r="G15" s="10"/>
      <c r="H15" s="10"/>
    </row>
    <row r="16" spans="1:8" ht="38.25">
      <c r="A16" s="426" t="s">
        <v>428</v>
      </c>
      <c r="B16" s="416" t="s">
        <v>19</v>
      </c>
      <c r="C16" s="153" t="s">
        <v>76</v>
      </c>
      <c r="D16" s="154" t="s">
        <v>17</v>
      </c>
      <c r="E16" s="152" t="s">
        <v>55</v>
      </c>
      <c r="F16" s="155" t="s">
        <v>56</v>
      </c>
      <c r="G16" s="10"/>
      <c r="H16" s="10"/>
    </row>
    <row r="17" spans="1:8" ht="14.25" customHeight="1">
      <c r="A17" s="353" t="s">
        <v>442</v>
      </c>
      <c r="B17" s="135">
        <v>21.9</v>
      </c>
      <c r="C17" s="301"/>
      <c r="D17" s="303" t="e">
        <f>('StdVS Glas-und Fensterreinigung'!C57)/C17</f>
        <v>#DIV/0!</v>
      </c>
      <c r="E17" s="125" t="e">
        <f>B17*D17</f>
        <v>#DIV/0!</v>
      </c>
      <c r="F17" s="136" t="e">
        <f>E17*1.19</f>
        <v>#DIV/0!</v>
      </c>
      <c r="G17" s="10"/>
      <c r="H17" s="10"/>
    </row>
    <row r="18" spans="1:8" ht="15.75" customHeight="1" thickBot="1">
      <c r="A18" s="50" t="s">
        <v>62</v>
      </c>
      <c r="B18" s="164" t="s">
        <v>75</v>
      </c>
      <c r="C18" s="156" t="s">
        <v>75</v>
      </c>
      <c r="D18" s="156" t="s">
        <v>39</v>
      </c>
      <c r="E18" s="157"/>
      <c r="F18" s="158">
        <f>E18*1.19</f>
        <v>0</v>
      </c>
      <c r="G18" s="10"/>
      <c r="H18" s="10"/>
    </row>
    <row r="19" spans="1:6" ht="16.5" customHeight="1" thickBot="1">
      <c r="A19" s="134" t="s">
        <v>437</v>
      </c>
      <c r="B19" s="167">
        <f>SUM(B17:B18)</f>
        <v>21.9</v>
      </c>
      <c r="C19" s="160" t="s">
        <v>75</v>
      </c>
      <c r="D19" s="160" t="s">
        <v>39</v>
      </c>
      <c r="E19" s="47" t="e">
        <f>SUM(E17:E18)</f>
        <v>#DIV/0!</v>
      </c>
      <c r="F19" s="48" t="e">
        <f>SUM(F17:F18)</f>
        <v>#DIV/0!</v>
      </c>
    </row>
  </sheetData>
  <sheetProtection selectLockedCells="1"/>
  <protectedRanges>
    <protectedRange sqref="D18:D19" name="Bereich1_1"/>
    <protectedRange sqref="E18" name="Bereich1_1_1_1_1"/>
    <protectedRange sqref="D7:F7" name="Bereich1"/>
    <protectedRange sqref="D8:F9" name="Bereich1_2"/>
    <protectedRange sqref="A18:A19 B18:C18 C19" name="Bereich1_1_2"/>
    <protectedRange sqref="D11:D12" name="Bereich1_2_2"/>
    <protectedRange sqref="D17" name="Bereich1_2_1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3"/>
  <headerFooter alignWithMargins="0">
    <oddHeader>&amp;LGemeinde Gingen a.d.F.&amp;C&amp;A&amp;REU-Ausschreibung Gebäudereinigung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zoomScaleSheetLayoutView="100" workbookViewId="0" topLeftCell="A25">
      <selection activeCell="D41" sqref="D41"/>
    </sheetView>
  </sheetViews>
  <sheetFormatPr defaultColWidth="11.421875" defaultRowHeight="12.75"/>
  <cols>
    <col min="1" max="1" width="8.57421875" style="0" customWidth="1"/>
    <col min="2" max="2" width="48.421875" style="0" customWidth="1"/>
    <col min="3" max="3" width="11.28125" style="0" customWidth="1"/>
    <col min="4" max="4" width="12.8515625" style="0" customWidth="1"/>
    <col min="5" max="5" width="11.8515625" style="0" customWidth="1"/>
    <col min="6" max="6" width="15.28125" style="16" customWidth="1"/>
    <col min="7" max="7" width="14.28125" style="16" customWidth="1"/>
    <col min="8" max="8" width="12.7109375" style="0" customWidth="1"/>
    <col min="9" max="9" width="11.7109375" style="0" customWidth="1"/>
    <col min="10" max="10" width="12.140625" style="0" customWidth="1"/>
    <col min="11" max="11" width="23.421875" style="0" customWidth="1"/>
  </cols>
  <sheetData>
    <row r="1" spans="2:11" ht="13.5" thickBot="1">
      <c r="B1" s="341"/>
      <c r="F1" s="9"/>
      <c r="G1" s="9"/>
      <c r="H1" s="316"/>
      <c r="I1" s="9"/>
      <c r="J1" s="9"/>
      <c r="K1" s="9"/>
    </row>
    <row r="2" spans="1:11" ht="12.75" customHeight="1">
      <c r="A2" s="533" t="s">
        <v>523</v>
      </c>
      <c r="B2" s="40" t="s">
        <v>298</v>
      </c>
      <c r="C2" s="656" t="s">
        <v>432</v>
      </c>
      <c r="D2" s="657"/>
      <c r="E2" s="657"/>
      <c r="F2" s="657"/>
      <c r="G2" s="658"/>
      <c r="H2" s="650" t="s">
        <v>18</v>
      </c>
      <c r="I2" s="652" t="s">
        <v>71</v>
      </c>
      <c r="J2" s="653"/>
      <c r="K2" s="648" t="s">
        <v>518</v>
      </c>
    </row>
    <row r="3" spans="1:11" ht="47.25" customHeight="1" thickBot="1">
      <c r="A3" s="273"/>
      <c r="B3" s="274" t="s">
        <v>33</v>
      </c>
      <c r="C3" s="659"/>
      <c r="D3" s="660"/>
      <c r="E3" s="660"/>
      <c r="F3" s="660"/>
      <c r="G3" s="661"/>
      <c r="H3" s="651"/>
      <c r="I3" s="654"/>
      <c r="J3" s="655"/>
      <c r="K3" s="649"/>
    </row>
    <row r="4" spans="1:11" ht="90.75" customHeight="1" thickBot="1">
      <c r="A4" s="364" t="s">
        <v>67</v>
      </c>
      <c r="B4" s="275" t="s">
        <v>149</v>
      </c>
      <c r="C4" s="276" t="s">
        <v>431</v>
      </c>
      <c r="D4" s="276" t="s">
        <v>63</v>
      </c>
      <c r="E4" s="492" t="s">
        <v>516</v>
      </c>
      <c r="F4" s="277" t="s">
        <v>20</v>
      </c>
      <c r="G4" s="278" t="s">
        <v>21</v>
      </c>
      <c r="H4" s="279" t="s">
        <v>524</v>
      </c>
      <c r="I4" s="277" t="s">
        <v>30</v>
      </c>
      <c r="J4" s="280" t="s">
        <v>31</v>
      </c>
      <c r="K4" s="493" t="s">
        <v>543</v>
      </c>
    </row>
    <row r="5" spans="1:11" s="9" customFormat="1" ht="15" customHeight="1">
      <c r="A5" s="517">
        <v>1</v>
      </c>
      <c r="B5" s="518" t="s">
        <v>309</v>
      </c>
      <c r="C5" s="333">
        <v>166.67</v>
      </c>
      <c r="D5" s="530">
        <f>C5*1.05</f>
        <v>175.0035</v>
      </c>
      <c r="E5" s="268"/>
      <c r="F5" s="319">
        <f>'Bildungszentrum (Los 1)'!M83</f>
        <v>0</v>
      </c>
      <c r="G5" s="322">
        <f>'Bildungszentrum (Los 1)'!M85</f>
        <v>0</v>
      </c>
      <c r="H5" s="462">
        <f>'Bildungszentrum (Los 1)'!F83</f>
        <v>2509.7</v>
      </c>
      <c r="I5" s="319" t="e">
        <f>'Matrix BZ'!E23</f>
        <v>#DIV/0!</v>
      </c>
      <c r="J5" s="600" t="e">
        <f>'Matrix BZ'!F23</f>
        <v>#DIV/0!</v>
      </c>
      <c r="K5" s="512" t="e">
        <f>(G5+J5)*3</f>
        <v>#DIV/0!</v>
      </c>
    </row>
    <row r="6" spans="1:11" s="9" customFormat="1" ht="15" customHeight="1">
      <c r="A6" s="311">
        <v>1</v>
      </c>
      <c r="B6" s="375" t="s">
        <v>530</v>
      </c>
      <c r="C6" s="333">
        <v>94.29</v>
      </c>
      <c r="D6" s="530">
        <f>C6*1.05</f>
        <v>99.00450000000001</v>
      </c>
      <c r="E6" s="268"/>
      <c r="F6" s="321">
        <f>'BZ Schwimmhalle (Los 1)'!K24</f>
        <v>0</v>
      </c>
      <c r="G6" s="324">
        <f>'BZ Schwimmhalle (Los 1)'!K26</f>
        <v>0</v>
      </c>
      <c r="H6" s="321">
        <f>'BZ Schwimmhalle (Los 1)'!E24</f>
        <v>391.62</v>
      </c>
      <c r="I6" s="319" t="e">
        <f>'Matrix BZ Schwimmhalle'!E11</f>
        <v>#DIV/0!</v>
      </c>
      <c r="J6" s="600" t="e">
        <f>'Matrix BZ Schwimmhalle'!F11</f>
        <v>#DIV/0!</v>
      </c>
      <c r="K6" s="336" t="e">
        <f>(G6+J6)*3</f>
        <v>#DIV/0!</v>
      </c>
    </row>
    <row r="7" spans="1:11" s="9" customFormat="1" ht="15.75" customHeight="1" thickBot="1">
      <c r="A7" s="146">
        <v>1</v>
      </c>
      <c r="B7" s="370" t="s">
        <v>147</v>
      </c>
      <c r="C7" s="531">
        <v>339.05</v>
      </c>
      <c r="D7" s="530">
        <f>C7*1.05</f>
        <v>356.00250000000005</v>
      </c>
      <c r="E7" s="268"/>
      <c r="F7" s="321">
        <f>'Hohensteinhalle (Los 1)'!M39</f>
        <v>0</v>
      </c>
      <c r="G7" s="324">
        <f>'Hohensteinhalle (Los 1)'!M41</f>
        <v>0</v>
      </c>
      <c r="H7" s="459">
        <f>'Hohensteinhalle (Los 1)'!F39</f>
        <v>2268.0899999999997</v>
      </c>
      <c r="I7" s="318" t="e">
        <f>'Matrix Hohensteinhalle'!E18</f>
        <v>#DIV/0!</v>
      </c>
      <c r="J7" s="602" t="e">
        <f>'Matrix Hohensteinhalle'!F18</f>
        <v>#DIV/0!</v>
      </c>
      <c r="K7" s="601" t="e">
        <f>(G7+J7)*3</f>
        <v>#DIV/0!</v>
      </c>
    </row>
    <row r="8" spans="1:11" ht="19.5" customHeight="1" thickBot="1">
      <c r="A8" s="314"/>
      <c r="B8" s="534" t="s">
        <v>135</v>
      </c>
      <c r="C8" s="269"/>
      <c r="D8" s="529"/>
      <c r="E8" s="270"/>
      <c r="F8" s="272">
        <f aca="true" t="shared" si="0" ref="F8:K8">SUM(F5:F7)</f>
        <v>0</v>
      </c>
      <c r="G8" s="272">
        <f t="shared" si="0"/>
        <v>0</v>
      </c>
      <c r="H8" s="460">
        <f t="shared" si="0"/>
        <v>5169.41</v>
      </c>
      <c r="I8" s="272" t="e">
        <f t="shared" si="0"/>
        <v>#DIV/0!</v>
      </c>
      <c r="J8" s="599" t="e">
        <f t="shared" si="0"/>
        <v>#DIV/0!</v>
      </c>
      <c r="K8" s="597" t="e">
        <f t="shared" si="0"/>
        <v>#DIV/0!</v>
      </c>
    </row>
    <row r="9" spans="1:12" s="9" customFormat="1" ht="18" customHeight="1" thickBot="1">
      <c r="A9" s="366"/>
      <c r="B9" s="367"/>
      <c r="C9" s="368"/>
      <c r="D9" s="529"/>
      <c r="E9" s="270"/>
      <c r="F9" s="369"/>
      <c r="G9" s="369"/>
      <c r="H9" s="461"/>
      <c r="I9" s="369"/>
      <c r="J9" s="369"/>
      <c r="K9" s="494"/>
      <c r="L9" s="363"/>
    </row>
    <row r="10" spans="1:11" s="9" customFormat="1" ht="14.25" customHeight="1">
      <c r="A10" s="517">
        <v>2</v>
      </c>
      <c r="B10" s="371" t="s">
        <v>146</v>
      </c>
      <c r="C10" s="532">
        <v>140.95</v>
      </c>
      <c r="D10" s="530">
        <f>C10*1.05</f>
        <v>147.9975</v>
      </c>
      <c r="E10" s="268"/>
      <c r="F10" s="319">
        <f>'KITA Sonnenschein (Los 2)'!M45</f>
        <v>0</v>
      </c>
      <c r="G10" s="322">
        <f>'KITA Sonnenschein (Los 2)'!M47</f>
        <v>0</v>
      </c>
      <c r="H10" s="462">
        <f>'KITA Sonnenschein (Los 2)'!F45</f>
        <v>873.4300000000001</v>
      </c>
      <c r="I10" s="319" t="e">
        <f>'Matrix KITA '!E17</f>
        <v>#DIV/0!</v>
      </c>
      <c r="J10" s="326" t="e">
        <f>'Matrix KITA '!F17</f>
        <v>#DIV/0!</v>
      </c>
      <c r="K10" s="512" t="e">
        <f>(G10+J10)*3</f>
        <v>#DIV/0!</v>
      </c>
    </row>
    <row r="11" spans="1:11" s="9" customFormat="1" ht="15" customHeight="1">
      <c r="A11" s="311">
        <v>2</v>
      </c>
      <c r="B11" s="309" t="s">
        <v>141</v>
      </c>
      <c r="C11" s="532">
        <v>209.52</v>
      </c>
      <c r="D11" s="530">
        <f>C11*1.05</f>
        <v>219.996</v>
      </c>
      <c r="E11" s="268"/>
      <c r="F11" s="319">
        <f>'Rathaus (Los 2)'!O40</f>
        <v>0</v>
      </c>
      <c r="G11" s="322">
        <f>'Rathaus (Los 2)'!O42</f>
        <v>0</v>
      </c>
      <c r="H11" s="462">
        <f>'Rathaus (Los 2)'!H40</f>
        <v>1228.0995999999998</v>
      </c>
      <c r="I11" s="319" t="e">
        <f>'Matrix Rathaus'!E20</f>
        <v>#DIV/0!</v>
      </c>
      <c r="J11" s="325" t="e">
        <f>'Matrix Rathaus'!F20</f>
        <v>#DIV/0!</v>
      </c>
      <c r="K11" s="365" t="e">
        <f>(G11+J11)*3</f>
        <v>#DIV/0!</v>
      </c>
    </row>
    <row r="12" spans="1:11" s="9" customFormat="1" ht="14.25" customHeight="1">
      <c r="A12" s="311">
        <v>2</v>
      </c>
      <c r="B12" s="309" t="s">
        <v>144</v>
      </c>
      <c r="C12" s="531">
        <v>124.76</v>
      </c>
      <c r="D12" s="530">
        <f>C12*1.05</f>
        <v>130.99800000000002</v>
      </c>
      <c r="E12" s="268"/>
      <c r="F12" s="317">
        <f>'Baubetriebshof (Los 2)'!M14</f>
        <v>0</v>
      </c>
      <c r="G12" s="323">
        <f>'Baubetriebshof (Los 2)'!M16</f>
        <v>0</v>
      </c>
      <c r="H12" s="459">
        <f>'Baubetriebshof (Los 2)'!F14</f>
        <v>122.88999999999999</v>
      </c>
      <c r="I12" s="317" t="e">
        <f>'Matrix Baubetriebshof'!E12</f>
        <v>#DIV/0!</v>
      </c>
      <c r="J12" s="328" t="e">
        <f>'Matrix Baubetriebshof'!F12</f>
        <v>#DIV/0!</v>
      </c>
      <c r="K12" s="365" t="e">
        <f>(G12+J12)*3</f>
        <v>#DIV/0!</v>
      </c>
    </row>
    <row r="13" spans="1:11" s="9" customFormat="1" ht="14.25" customHeight="1">
      <c r="A13" s="311">
        <v>2</v>
      </c>
      <c r="B13" s="309" t="s">
        <v>299</v>
      </c>
      <c r="C13" s="531">
        <v>133.33</v>
      </c>
      <c r="D13" s="530">
        <f>C13*1.05</f>
        <v>139.99650000000003</v>
      </c>
      <c r="E13" s="268"/>
      <c r="F13" s="321">
        <f>'Aussegnungshalle (Los 2)'!M20</f>
        <v>0</v>
      </c>
      <c r="G13" s="324">
        <f>'Aussegnungshalle (Los 2)'!M22</f>
        <v>0</v>
      </c>
      <c r="H13" s="459">
        <f>'Aussegnungshalle (Los 2)'!F20</f>
        <v>382.35500000000013</v>
      </c>
      <c r="I13" s="321" t="e">
        <f>'Matrix Aussegnungshalle'!E12</f>
        <v>#DIV/0!</v>
      </c>
      <c r="J13" s="327" t="e">
        <f>'Matrix Aussegnungshalle'!F12</f>
        <v>#DIV/0!</v>
      </c>
      <c r="K13" s="365" t="e">
        <f>(G13+J13)*3</f>
        <v>#DIV/0!</v>
      </c>
    </row>
    <row r="14" spans="1:11" s="9" customFormat="1" ht="14.25" customHeight="1" thickBot="1">
      <c r="A14" s="314">
        <v>2</v>
      </c>
      <c r="B14" s="370" t="s">
        <v>143</v>
      </c>
      <c r="C14" s="531">
        <v>135.24</v>
      </c>
      <c r="D14" s="530">
        <f>C14*1.05</f>
        <v>142.002</v>
      </c>
      <c r="E14" s="268"/>
      <c r="F14" s="321">
        <f>'Feuerwache (Los 2)'!M39</f>
        <v>0</v>
      </c>
      <c r="G14" s="324">
        <f>'Feuerwache (Los 2)'!M41</f>
        <v>0</v>
      </c>
      <c r="H14" s="459">
        <f>'Feuerwache (Los 2)'!F39</f>
        <v>523.86</v>
      </c>
      <c r="I14" s="321" t="e">
        <f>'Matrix Feuerwache'!E12</f>
        <v>#DIV/0!</v>
      </c>
      <c r="J14" s="327" t="e">
        <f>'Matrix Feuerwache'!F12</f>
        <v>#DIV/0!</v>
      </c>
      <c r="K14" s="513" t="e">
        <f>(G14+J14)*3</f>
        <v>#DIV/0!</v>
      </c>
    </row>
    <row r="15" spans="1:11" ht="23.25" customHeight="1" thickBot="1">
      <c r="A15" s="314"/>
      <c r="B15" s="534" t="s">
        <v>136</v>
      </c>
      <c r="C15" s="269"/>
      <c r="D15" s="269"/>
      <c r="E15" s="270"/>
      <c r="F15" s="271">
        <f>SUM(F10:F14)</f>
        <v>0</v>
      </c>
      <c r="G15" s="271">
        <f>SUM(G10:G14)</f>
        <v>0</v>
      </c>
      <c r="H15" s="463">
        <f>SUM(H10:H14)</f>
        <v>3130.6346</v>
      </c>
      <c r="I15" s="271" t="e">
        <f>SUM(I12:I14)</f>
        <v>#DIV/0!</v>
      </c>
      <c r="J15" s="271" t="e">
        <f>SUM(J10:J14)</f>
        <v>#DIV/0!</v>
      </c>
      <c r="K15" s="597" t="e">
        <f>SUM(K10:K14)</f>
        <v>#DIV/0!</v>
      </c>
    </row>
    <row r="16" spans="1:12" s="9" customFormat="1" ht="20.25" customHeight="1" thickBot="1">
      <c r="A16" s="310"/>
      <c r="B16" s="497"/>
      <c r="C16" s="173"/>
      <c r="D16" s="173"/>
      <c r="E16" s="174"/>
      <c r="F16" s="175"/>
      <c r="G16" s="175"/>
      <c r="H16" s="464"/>
      <c r="I16" s="175"/>
      <c r="J16" s="175"/>
      <c r="K16" s="494"/>
      <c r="L16" s="363"/>
    </row>
    <row r="17" spans="1:11" s="9" customFormat="1" ht="12.75">
      <c r="A17" s="517">
        <v>3</v>
      </c>
      <c r="B17" s="335" t="s">
        <v>64</v>
      </c>
      <c r="C17" s="498" t="s">
        <v>75</v>
      </c>
      <c r="D17" s="499" t="s">
        <v>75</v>
      </c>
      <c r="E17" s="499" t="s">
        <v>75</v>
      </c>
      <c r="F17" s="500" t="e">
        <f>'Matrix Rathaus'!E29</f>
        <v>#DIV/0!</v>
      </c>
      <c r="G17" s="501" t="e">
        <f>'Matrix Rathaus'!F29</f>
        <v>#DIV/0!</v>
      </c>
      <c r="H17" s="502">
        <f>'Matrix Rathaus'!B29</f>
        <v>630.79</v>
      </c>
      <c r="I17" s="499" t="s">
        <v>75</v>
      </c>
      <c r="J17" s="503" t="s">
        <v>75</v>
      </c>
      <c r="K17" s="514" t="e">
        <f>G17*3</f>
        <v>#DIV/0!</v>
      </c>
    </row>
    <row r="18" spans="1:11" s="9" customFormat="1" ht="12.75">
      <c r="A18" s="311">
        <v>3</v>
      </c>
      <c r="B18" s="337" t="s">
        <v>148</v>
      </c>
      <c r="C18" s="334" t="s">
        <v>75</v>
      </c>
      <c r="D18" s="133" t="s">
        <v>75</v>
      </c>
      <c r="E18" s="133" t="s">
        <v>75</v>
      </c>
      <c r="F18" s="317" t="e">
        <f>'Matrix BZ'!E32</f>
        <v>#DIV/0!</v>
      </c>
      <c r="G18" s="329" t="e">
        <f>'Matrix BZ'!F32</f>
        <v>#DIV/0!</v>
      </c>
      <c r="H18" s="317">
        <f>'Matrix BZ'!B32</f>
        <v>530.28</v>
      </c>
      <c r="I18" s="133" t="s">
        <v>75</v>
      </c>
      <c r="J18" s="504" t="s">
        <v>75</v>
      </c>
      <c r="K18" s="515" t="e">
        <f aca="true" t="shared" si="1" ref="K18:K24">G18*3</f>
        <v>#DIV/0!</v>
      </c>
    </row>
    <row r="19" spans="1:11" s="9" customFormat="1" ht="12.75">
      <c r="A19" s="311">
        <v>3</v>
      </c>
      <c r="B19" s="307" t="s">
        <v>517</v>
      </c>
      <c r="C19" s="334" t="s">
        <v>75</v>
      </c>
      <c r="D19" s="133" t="s">
        <v>75</v>
      </c>
      <c r="E19" s="133" t="s">
        <v>75</v>
      </c>
      <c r="F19" s="317" t="e">
        <f>'Matrix BZ Schwimmhalle'!E18</f>
        <v>#DIV/0!</v>
      </c>
      <c r="G19" s="329" t="e">
        <f>'Matrix BZ Schwimmhalle'!F18</f>
        <v>#DIV/0!</v>
      </c>
      <c r="H19" s="317">
        <f>'Matrix BZ Schwimmhalle'!B18</f>
        <v>39.26</v>
      </c>
      <c r="I19" s="133" t="s">
        <v>75</v>
      </c>
      <c r="J19" s="504" t="s">
        <v>75</v>
      </c>
      <c r="K19" s="515" t="e">
        <f t="shared" si="1"/>
        <v>#DIV/0!</v>
      </c>
    </row>
    <row r="20" spans="1:11" s="9" customFormat="1" ht="15" customHeight="1">
      <c r="A20" s="39">
        <v>3</v>
      </c>
      <c r="B20" s="307" t="s">
        <v>146</v>
      </c>
      <c r="C20" s="334" t="s">
        <v>75</v>
      </c>
      <c r="D20" s="133" t="s">
        <v>75</v>
      </c>
      <c r="E20" s="133" t="s">
        <v>75</v>
      </c>
      <c r="F20" s="317" t="e">
        <f>'Matrix KITA '!E26</f>
        <v>#DIV/0!</v>
      </c>
      <c r="G20" s="329" t="e">
        <f>'Matrix KITA '!F26</f>
        <v>#DIV/0!</v>
      </c>
      <c r="H20" s="459">
        <f>'Matrix KITA '!B24</f>
        <v>322.31</v>
      </c>
      <c r="I20" s="133" t="s">
        <v>75</v>
      </c>
      <c r="J20" s="504" t="s">
        <v>75</v>
      </c>
      <c r="K20" s="515" t="e">
        <f t="shared" si="1"/>
        <v>#DIV/0!</v>
      </c>
    </row>
    <row r="21" spans="1:11" s="9" customFormat="1" ht="12.75">
      <c r="A21" s="42">
        <v>3</v>
      </c>
      <c r="B21" s="296" t="s">
        <v>147</v>
      </c>
      <c r="C21" s="334" t="s">
        <v>75</v>
      </c>
      <c r="D21" s="133" t="s">
        <v>75</v>
      </c>
      <c r="E21" s="133" t="s">
        <v>75</v>
      </c>
      <c r="F21" s="318" t="e">
        <f>'Matrix Hohensteinhalle'!E27</f>
        <v>#DIV/0!</v>
      </c>
      <c r="G21" s="330" t="e">
        <f>'Matrix Hohensteinhalle'!F27</f>
        <v>#DIV/0!</v>
      </c>
      <c r="H21" s="465">
        <f>'Matrix Hohensteinhalle'!B27</f>
        <v>400.43</v>
      </c>
      <c r="I21" s="133" t="s">
        <v>75</v>
      </c>
      <c r="J21" s="504" t="s">
        <v>75</v>
      </c>
      <c r="K21" s="515" t="e">
        <f t="shared" si="1"/>
        <v>#DIV/0!</v>
      </c>
    </row>
    <row r="22" spans="1:11" s="9" customFormat="1" ht="12.75">
      <c r="A22" s="42">
        <v>3</v>
      </c>
      <c r="B22" s="296" t="s">
        <v>144</v>
      </c>
      <c r="C22" s="334" t="s">
        <v>75</v>
      </c>
      <c r="D22" s="133" t="s">
        <v>75</v>
      </c>
      <c r="E22" s="133" t="s">
        <v>75</v>
      </c>
      <c r="F22" s="320" t="e">
        <f>'Matrix Baubetriebshof'!E19</f>
        <v>#DIV/0!</v>
      </c>
      <c r="G22" s="331" t="e">
        <f>'Matrix Baubetriebshof'!F19</f>
        <v>#DIV/0!</v>
      </c>
      <c r="H22" s="465">
        <f>'Matrix Baubetriebshof'!B19</f>
        <v>21.9</v>
      </c>
      <c r="I22" s="133" t="s">
        <v>75</v>
      </c>
      <c r="J22" s="504" t="s">
        <v>75</v>
      </c>
      <c r="K22" s="515" t="e">
        <f t="shared" si="1"/>
        <v>#DIV/0!</v>
      </c>
    </row>
    <row r="23" spans="1:11" s="9" customFormat="1" ht="12.75">
      <c r="A23" s="42">
        <v>3</v>
      </c>
      <c r="B23" s="296" t="s">
        <v>145</v>
      </c>
      <c r="C23" s="334" t="s">
        <v>75</v>
      </c>
      <c r="D23" s="133" t="s">
        <v>75</v>
      </c>
      <c r="E23" s="133" t="s">
        <v>75</v>
      </c>
      <c r="F23" s="320" t="e">
        <f>'Matrix Aussegnungshalle'!E21</f>
        <v>#DIV/0!</v>
      </c>
      <c r="G23" s="331" t="e">
        <f>'Matrix Aussegnungshalle'!F21</f>
        <v>#DIV/0!</v>
      </c>
      <c r="H23" s="465">
        <f>'Matrix Aussegnungshalle'!B21</f>
        <v>126.6</v>
      </c>
      <c r="I23" s="133" t="s">
        <v>75</v>
      </c>
      <c r="J23" s="504" t="s">
        <v>75</v>
      </c>
      <c r="K23" s="515" t="e">
        <f t="shared" si="1"/>
        <v>#DIV/0!</v>
      </c>
    </row>
    <row r="24" spans="1:11" s="9" customFormat="1" ht="13.5" thickBot="1">
      <c r="A24" s="146">
        <v>3</v>
      </c>
      <c r="B24" s="505" t="s">
        <v>143</v>
      </c>
      <c r="C24" s="506" t="s">
        <v>75</v>
      </c>
      <c r="D24" s="507" t="s">
        <v>75</v>
      </c>
      <c r="E24" s="507" t="s">
        <v>75</v>
      </c>
      <c r="F24" s="508" t="e">
        <f>'Matrix Feuerwache'!E20</f>
        <v>#DIV/0!</v>
      </c>
      <c r="G24" s="509" t="e">
        <f>'Matrix Feuerwache'!F20</f>
        <v>#DIV/0!</v>
      </c>
      <c r="H24" s="510">
        <f>'Matrix Feuerwache'!B20</f>
        <v>191.64999999999998</v>
      </c>
      <c r="I24" s="507" t="s">
        <v>75</v>
      </c>
      <c r="J24" s="511" t="s">
        <v>75</v>
      </c>
      <c r="K24" s="516" t="e">
        <f t="shared" si="1"/>
        <v>#DIV/0!</v>
      </c>
    </row>
    <row r="25" spans="1:11" s="9" customFormat="1" ht="24" customHeight="1" thickBot="1">
      <c r="A25" s="314"/>
      <c r="B25" s="535" t="s">
        <v>137</v>
      </c>
      <c r="C25" s="176"/>
      <c r="D25" s="176"/>
      <c r="E25" s="177"/>
      <c r="F25" s="179" t="e">
        <f>SUM(F17:F24)</f>
        <v>#DIV/0!</v>
      </c>
      <c r="G25" s="179" t="e">
        <f>SUM(G17:G24)</f>
        <v>#DIV/0!</v>
      </c>
      <c r="H25" s="466">
        <f>SUM(H17:H24)</f>
        <v>2263.2200000000003</v>
      </c>
      <c r="I25" s="178"/>
      <c r="J25" s="178"/>
      <c r="K25" s="598" t="e">
        <f>SUM(K17:K24)</f>
        <v>#DIV/0!</v>
      </c>
    </row>
    <row r="26" spans="1:12" s="9" customFormat="1" ht="18.75" customHeight="1" thickBot="1">
      <c r="A26" s="141"/>
      <c r="B26" s="43"/>
      <c r="C26" s="142"/>
      <c r="D26" s="142"/>
      <c r="E26" s="143"/>
      <c r="F26" s="144"/>
      <c r="G26" s="144"/>
      <c r="H26" s="467"/>
      <c r="I26" s="144"/>
      <c r="J26" s="145"/>
      <c r="K26" s="494"/>
      <c r="L26" s="363"/>
    </row>
    <row r="27" spans="1:11" ht="25.5" customHeight="1" thickBot="1">
      <c r="A27" s="33"/>
      <c r="B27" s="536" t="s">
        <v>74</v>
      </c>
      <c r="C27" s="88"/>
      <c r="D27" s="88"/>
      <c r="E27" s="128"/>
      <c r="F27" s="26" t="e">
        <f>F8+F15+F25</f>
        <v>#DIV/0!</v>
      </c>
      <c r="G27" s="26" t="e">
        <f>G8+G15+G25</f>
        <v>#DIV/0!</v>
      </c>
      <c r="H27" s="468">
        <f>H8+H15+H25</f>
        <v>10563.264599999999</v>
      </c>
      <c r="I27" s="26" t="e">
        <f>I8+I15</f>
        <v>#DIV/0!</v>
      </c>
      <c r="J27" s="26" t="e">
        <f>J8+J15</f>
        <v>#DIV/0!</v>
      </c>
      <c r="K27" s="597" t="e">
        <f>K8+K15+K25</f>
        <v>#DIV/0!</v>
      </c>
    </row>
    <row r="28" spans="1:12" s="9" customFormat="1" ht="18" customHeight="1">
      <c r="A28" s="10"/>
      <c r="B28" s="132"/>
      <c r="C28" s="25"/>
      <c r="D28" s="25"/>
      <c r="E28" s="282"/>
      <c r="F28" s="56"/>
      <c r="G28" s="56"/>
      <c r="H28" s="56"/>
      <c r="I28" s="56"/>
      <c r="J28" s="495"/>
      <c r="K28" s="496"/>
      <c r="L28" s="363"/>
    </row>
    <row r="29" spans="1:11" ht="13.5" thickBot="1">
      <c r="A29" s="132"/>
      <c r="B29" s="3"/>
      <c r="C29" s="3"/>
      <c r="D29" s="3"/>
      <c r="E29" s="3"/>
      <c r="F29" s="3"/>
      <c r="G29" s="10"/>
      <c r="H29" s="19"/>
      <c r="I29" s="19"/>
      <c r="J29" s="19"/>
      <c r="K29" s="16"/>
    </row>
    <row r="30" spans="1:10" ht="20.25">
      <c r="A30" s="132"/>
      <c r="B30" s="639" t="s">
        <v>561</v>
      </c>
      <c r="C30" s="640"/>
      <c r="D30" s="641"/>
      <c r="E30" s="642"/>
      <c r="F30" s="70"/>
      <c r="G30" s="638"/>
      <c r="H30" s="19"/>
      <c r="I30" s="638"/>
      <c r="J30" s="16"/>
    </row>
    <row r="31" spans="1:10" ht="12.75">
      <c r="A31" s="132"/>
      <c r="B31" s="634" t="s">
        <v>555</v>
      </c>
      <c r="C31" s="635"/>
      <c r="D31" s="636"/>
      <c r="E31" s="637"/>
      <c r="F31" s="10"/>
      <c r="G31" s="19"/>
      <c r="H31" s="19"/>
      <c r="I31" s="19"/>
      <c r="J31" s="16"/>
    </row>
    <row r="32" spans="1:10" ht="12.75">
      <c r="A32" s="132"/>
      <c r="B32" s="634" t="s">
        <v>556</v>
      </c>
      <c r="C32" s="635"/>
      <c r="D32" s="636"/>
      <c r="E32" s="643"/>
      <c r="F32" s="19"/>
      <c r="G32" s="19"/>
      <c r="H32" s="19"/>
      <c r="I32" s="19"/>
      <c r="J32" s="16"/>
    </row>
    <row r="33" spans="1:10" ht="12.75">
      <c r="A33" s="10"/>
      <c r="B33" s="634" t="s">
        <v>557</v>
      </c>
      <c r="C33" s="635"/>
      <c r="D33" s="636"/>
      <c r="E33" s="643"/>
      <c r="F33" s="19"/>
      <c r="G33" s="19"/>
      <c r="H33" s="19"/>
      <c r="I33" s="19"/>
      <c r="J33" s="16"/>
    </row>
    <row r="34" spans="1:10" ht="12.75">
      <c r="A34" s="9"/>
      <c r="B34" s="634" t="s">
        <v>558</v>
      </c>
      <c r="C34" s="635"/>
      <c r="D34" s="636"/>
      <c r="E34" s="643"/>
      <c r="F34" s="19"/>
      <c r="G34" s="19"/>
      <c r="H34" s="19"/>
      <c r="I34" s="19"/>
      <c r="J34" s="16"/>
    </row>
    <row r="35" spans="2:10" ht="12.75">
      <c r="B35" s="634" t="s">
        <v>559</v>
      </c>
      <c r="C35" s="635"/>
      <c r="D35" s="636"/>
      <c r="E35" s="643"/>
      <c r="F35" s="19"/>
      <c r="G35" s="19"/>
      <c r="H35" s="19"/>
      <c r="I35" s="19"/>
      <c r="J35" s="16"/>
    </row>
    <row r="36" spans="2:10" ht="13.5" thickBot="1">
      <c r="B36" s="644" t="s">
        <v>560</v>
      </c>
      <c r="C36" s="645"/>
      <c r="D36" s="646"/>
      <c r="E36" s="647"/>
      <c r="F36" s="19"/>
      <c r="G36" s="19"/>
      <c r="H36" s="19"/>
      <c r="I36" s="19"/>
      <c r="J36" s="16"/>
    </row>
    <row r="37" spans="2:11" ht="12.75">
      <c r="B37" s="3"/>
      <c r="C37" s="3"/>
      <c r="D37" s="3"/>
      <c r="E37" s="3"/>
      <c r="F37" s="3"/>
      <c r="G37" s="10"/>
      <c r="H37" s="19"/>
      <c r="I37" s="19"/>
      <c r="J37" s="19"/>
      <c r="K37" s="16"/>
    </row>
    <row r="39" spans="2:6" ht="12.75">
      <c r="B39" s="11"/>
      <c r="F39" s="633"/>
    </row>
  </sheetData>
  <sheetProtection/>
  <mergeCells count="4">
    <mergeCell ref="K2:K3"/>
    <mergeCell ref="H2:H3"/>
    <mergeCell ref="I2:J3"/>
    <mergeCell ref="C2:G3"/>
  </mergeCells>
  <printOptions/>
  <pageMargins left="0.7874015748031497" right="0.7874015748031497" top="0.3937007874015748" bottom="0.3937007874015748" header="0.1968503937007874" footer="0.5118110236220472"/>
  <pageSetup horizontalDpi="600" verticalDpi="600" orientation="landscape" paperSize="9" scale="68" r:id="rId3"/>
  <headerFooter alignWithMargins="0">
    <oddHeader>&amp;LGemeinde Gingen a.d.F.&amp;CPreisspiegel&amp;REU - Ausschreibung Gebäudereinigung</oddHead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8"/>
  <sheetViews>
    <sheetView zoomScale="90" zoomScaleNormal="90" zoomScaleSheetLayoutView="100" workbookViewId="0" topLeftCell="A1">
      <selection activeCell="B25" sqref="B25"/>
    </sheetView>
  </sheetViews>
  <sheetFormatPr defaultColWidth="11.421875" defaultRowHeight="12.75"/>
  <cols>
    <col min="1" max="1" width="56.421875" style="0" customWidth="1"/>
    <col min="2" max="2" width="15.28125" style="0" customWidth="1"/>
    <col min="3" max="3" width="25.7109375" style="0" customWidth="1"/>
    <col min="4" max="4" width="12.7109375" style="0" hidden="1" customWidth="1"/>
    <col min="5" max="5" width="10.140625" style="0" customWidth="1"/>
    <col min="6" max="6" width="9.8515625" style="0" customWidth="1"/>
    <col min="7" max="7" width="10.00390625" style="4" customWidth="1"/>
    <col min="8" max="8" width="11.140625" style="0" customWidth="1"/>
    <col min="9" max="9" width="10.421875" style="4" customWidth="1"/>
    <col min="10" max="10" width="10.57421875" style="0" customWidth="1"/>
    <col min="11" max="11" width="13.421875" style="0" customWidth="1"/>
    <col min="12" max="12" width="13.7109375" style="0" customWidth="1"/>
    <col min="13" max="13" width="15.00390625" style="0" customWidth="1"/>
    <col min="14" max="14" width="13.00390625" style="0" customWidth="1"/>
    <col min="15" max="15" width="10.7109375" style="0" customWidth="1"/>
  </cols>
  <sheetData>
    <row r="1" spans="1:20" ht="12.75">
      <c r="A1" s="1" t="s">
        <v>10</v>
      </c>
      <c r="B1" s="27" t="s">
        <v>145</v>
      </c>
      <c r="D1" s="5"/>
      <c r="F1" s="5"/>
      <c r="G1" s="3"/>
      <c r="H1" s="4"/>
      <c r="I1"/>
      <c r="P1" s="10"/>
      <c r="Q1" s="10"/>
      <c r="R1" s="10"/>
      <c r="S1" s="10"/>
      <c r="T1" s="10"/>
    </row>
    <row r="2" spans="1:20" ht="12.75">
      <c r="A2" s="1" t="s">
        <v>34</v>
      </c>
      <c r="B2" s="27" t="s">
        <v>537</v>
      </c>
      <c r="C2" s="41"/>
      <c r="D2" s="63"/>
      <c r="F2" s="5"/>
      <c r="G2" s="3"/>
      <c r="H2" s="4"/>
      <c r="I2"/>
      <c r="P2" s="10"/>
      <c r="Q2" s="10"/>
      <c r="R2" s="10"/>
      <c r="S2" s="10"/>
      <c r="T2" s="10"/>
    </row>
    <row r="3" spans="1:20" ht="12.75">
      <c r="A3" s="1" t="s">
        <v>23</v>
      </c>
      <c r="B3" s="27" t="s">
        <v>545</v>
      </c>
      <c r="C3" s="41"/>
      <c r="D3" s="5"/>
      <c r="F3" s="5"/>
      <c r="G3" s="3"/>
      <c r="H3" s="4"/>
      <c r="I3"/>
      <c r="P3" s="10"/>
      <c r="Q3" s="10"/>
      <c r="R3" s="10"/>
      <c r="S3" s="10"/>
      <c r="T3" s="10"/>
    </row>
    <row r="4" spans="1:20" ht="17.25">
      <c r="A4" s="1" t="s">
        <v>29</v>
      </c>
      <c r="B4" s="44"/>
      <c r="C4" s="78"/>
      <c r="D4" s="5"/>
      <c r="F4" s="5"/>
      <c r="G4" s="3"/>
      <c r="H4" s="4"/>
      <c r="I4"/>
      <c r="P4" s="10"/>
      <c r="Q4" s="10"/>
      <c r="R4" s="10"/>
      <c r="S4" s="10"/>
      <c r="T4" s="10"/>
    </row>
    <row r="5" spans="1:20" ht="15" thickBot="1">
      <c r="A5" s="1" t="s">
        <v>11</v>
      </c>
      <c r="B5" s="138">
        <v>52</v>
      </c>
      <c r="C5" s="64"/>
      <c r="D5" s="28" t="s">
        <v>24</v>
      </c>
      <c r="F5" s="519"/>
      <c r="G5" s="519"/>
      <c r="H5" s="519"/>
      <c r="I5" s="519"/>
      <c r="N5" s="2"/>
      <c r="P5" s="10"/>
      <c r="Q5" s="10"/>
      <c r="R5" s="10"/>
      <c r="S5" s="10"/>
      <c r="T5" s="10"/>
    </row>
    <row r="6" spans="1:20" ht="20.25">
      <c r="A6" s="684" t="s">
        <v>14</v>
      </c>
      <c r="B6" s="284" t="s">
        <v>519</v>
      </c>
      <c r="C6" s="30" t="s">
        <v>15</v>
      </c>
      <c r="D6" s="31" t="s">
        <v>25</v>
      </c>
      <c r="E6" s="29" t="s">
        <v>28</v>
      </c>
      <c r="F6" s="31" t="s">
        <v>26</v>
      </c>
      <c r="G6" s="32" t="s">
        <v>13</v>
      </c>
      <c r="H6" s="686" t="s">
        <v>44</v>
      </c>
      <c r="I6" s="30" t="s">
        <v>2</v>
      </c>
      <c r="J6" s="684" t="s">
        <v>49</v>
      </c>
      <c r="K6" s="684" t="s">
        <v>32</v>
      </c>
      <c r="L6" s="684" t="s">
        <v>5</v>
      </c>
      <c r="M6" s="684" t="s">
        <v>4</v>
      </c>
      <c r="N6" s="684" t="s">
        <v>6</v>
      </c>
      <c r="P6" s="10"/>
      <c r="Q6" s="10"/>
      <c r="R6" s="10"/>
      <c r="S6" s="10"/>
      <c r="T6" s="10"/>
    </row>
    <row r="7" spans="1:20" ht="13.5" thickBot="1">
      <c r="A7" s="685"/>
      <c r="B7" s="546" t="s">
        <v>520</v>
      </c>
      <c r="C7" s="6"/>
      <c r="D7" s="7" t="s">
        <v>1</v>
      </c>
      <c r="E7" s="52"/>
      <c r="F7" s="7" t="s">
        <v>1</v>
      </c>
      <c r="G7" s="98"/>
      <c r="H7" s="687"/>
      <c r="I7" s="53" t="s">
        <v>3</v>
      </c>
      <c r="J7" s="685"/>
      <c r="K7" s="685"/>
      <c r="L7" s="685"/>
      <c r="M7" s="685"/>
      <c r="N7" s="685"/>
      <c r="P7" s="10"/>
      <c r="Q7" s="10"/>
      <c r="R7" s="10"/>
      <c r="S7" s="10"/>
      <c r="T7" s="10"/>
    </row>
    <row r="8" spans="1:20" ht="12.75">
      <c r="A8" s="588" t="s">
        <v>43</v>
      </c>
      <c r="B8" s="589" t="s">
        <v>16</v>
      </c>
      <c r="C8" s="549" t="s">
        <v>244</v>
      </c>
      <c r="D8" s="578"/>
      <c r="E8" s="392" t="s">
        <v>22</v>
      </c>
      <c r="F8" s="568">
        <v>7.6</v>
      </c>
      <c r="G8" s="106" t="str">
        <f>VLOOKUP(A8,'Matrix Aussegnungshalle'!$A$2:$C$7,3,1)</f>
        <v>1 x m</v>
      </c>
      <c r="H8" s="107">
        <f>SUM(F8*(IF(G8=1,4.33,(IF(G8=2,8.4,(IF(G8=2.5,8.3,(IF(G8=3,12.9,(IF(G8=5,21,(IF(G8=0.25,1,(IF(G8="1 x m",1)))))))))))))))</f>
        <v>7.6</v>
      </c>
      <c r="I8" s="596">
        <f>VLOOKUP(A8,'Matrix Aussegnungshalle'!$A$2:$C$7,2,1)</f>
        <v>0</v>
      </c>
      <c r="J8" s="107">
        <f aca="true" t="shared" si="0" ref="J8:J18">IF(I8&gt;0,SUM(H8/I8),0)</f>
        <v>0</v>
      </c>
      <c r="K8" s="551">
        <f>'StdVS Unterhaltsreinigung (UHR)'!$C$57</f>
        <v>0</v>
      </c>
      <c r="L8" s="108">
        <f>SUM(J8*K8)</f>
        <v>0</v>
      </c>
      <c r="M8" s="108">
        <f>L8*12</f>
        <v>0</v>
      </c>
      <c r="N8" s="109">
        <f>IF(H8&gt;0,L8/H8,0)</f>
        <v>0</v>
      </c>
      <c r="P8" s="10"/>
      <c r="Q8" s="10"/>
      <c r="R8" s="10"/>
      <c r="S8" s="10"/>
      <c r="T8" s="10"/>
    </row>
    <row r="9" spans="1:20" ht="12.75">
      <c r="A9" s="590" t="s">
        <v>69</v>
      </c>
      <c r="B9" s="404" t="s">
        <v>16</v>
      </c>
      <c r="C9" s="344" t="s">
        <v>245</v>
      </c>
      <c r="D9" s="90"/>
      <c r="E9" s="389" t="s">
        <v>22</v>
      </c>
      <c r="F9" s="347">
        <v>16</v>
      </c>
      <c r="G9" s="65" t="str">
        <f>VLOOKUP(A9,'Matrix Aussegnungshalle'!$A$2:$C$7,3,1)</f>
        <v>1 x m</v>
      </c>
      <c r="H9" s="104">
        <f aca="true" t="shared" si="1" ref="H9:H16">SUM(F9*(IF(G9=1,4.33,(IF(G9=2,8.4,(IF(G9=2.5,8.3,(IF(G9=3,12.9,(IF(G9=5,21,(IF(G9=0.25,1,(IF(G9="1 x m",1)))))))))))))))</f>
        <v>16</v>
      </c>
      <c r="I9" s="352">
        <f>VLOOKUP(A9,'Matrix Aussegnungshalle'!$A$2:$C$7,2,1)</f>
        <v>0</v>
      </c>
      <c r="J9" s="104">
        <f t="shared" si="0"/>
        <v>0</v>
      </c>
      <c r="K9" s="66">
        <f>'StdVS Unterhaltsreinigung (UHR)'!$C$57</f>
        <v>0</v>
      </c>
      <c r="L9" s="105">
        <f aca="true" t="shared" si="2" ref="L9:L18">SUM(J9*K9)</f>
        <v>0</v>
      </c>
      <c r="M9" s="105">
        <f aca="true" t="shared" si="3" ref="M9:M18">L9*12</f>
        <v>0</v>
      </c>
      <c r="N9" s="110">
        <f aca="true" t="shared" si="4" ref="N9:N18">IF(H9&gt;0,L9/H9,0)</f>
        <v>0</v>
      </c>
      <c r="P9" s="10"/>
      <c r="Q9" s="10"/>
      <c r="R9" s="10"/>
      <c r="S9" s="10"/>
      <c r="T9" s="10"/>
    </row>
    <row r="10" spans="1:20" ht="12.75">
      <c r="A10" s="590" t="s">
        <v>69</v>
      </c>
      <c r="B10" s="404" t="s">
        <v>16</v>
      </c>
      <c r="C10" s="344" t="s">
        <v>246</v>
      </c>
      <c r="D10" s="90"/>
      <c r="E10" s="389" t="s">
        <v>22</v>
      </c>
      <c r="F10" s="347">
        <v>36</v>
      </c>
      <c r="G10" s="65" t="str">
        <f>VLOOKUP(A10,'Matrix Aussegnungshalle'!$A$2:$C$7,3,1)</f>
        <v>1 x m</v>
      </c>
      <c r="H10" s="104">
        <f t="shared" si="1"/>
        <v>36</v>
      </c>
      <c r="I10" s="352">
        <f>VLOOKUP(A10,'Matrix Aussegnungshalle'!$A$2:$C$7,2,1)</f>
        <v>0</v>
      </c>
      <c r="J10" s="104">
        <f t="shared" si="0"/>
        <v>0</v>
      </c>
      <c r="K10" s="66">
        <f>'StdVS Unterhaltsreinigung (UHR)'!$C$57</f>
        <v>0</v>
      </c>
      <c r="L10" s="105">
        <f t="shared" si="2"/>
        <v>0</v>
      </c>
      <c r="M10" s="105">
        <f t="shared" si="3"/>
        <v>0</v>
      </c>
      <c r="N10" s="110">
        <f t="shared" si="4"/>
        <v>0</v>
      </c>
      <c r="P10" s="10"/>
      <c r="Q10" s="10"/>
      <c r="R10" s="10"/>
      <c r="S10" s="10"/>
      <c r="T10" s="10"/>
    </row>
    <row r="11" spans="1:20" ht="12.75">
      <c r="A11" s="590" t="s">
        <v>397</v>
      </c>
      <c r="B11" s="404" t="s">
        <v>16</v>
      </c>
      <c r="C11" s="344" t="s">
        <v>247</v>
      </c>
      <c r="D11" s="90"/>
      <c r="E11" s="389" t="s">
        <v>22</v>
      </c>
      <c r="F11" s="347">
        <v>48.300000000000004</v>
      </c>
      <c r="G11" s="65" t="str">
        <f>VLOOKUP(A11,'Matrix Aussegnungshalle'!$A$2:$C$7,3,1)</f>
        <v>1 x m</v>
      </c>
      <c r="H11" s="104">
        <f t="shared" si="1"/>
        <v>48.300000000000004</v>
      </c>
      <c r="I11" s="352">
        <f>VLOOKUP(A11,'Matrix Aussegnungshalle'!$A$2:$C$7,2,1)</f>
        <v>0</v>
      </c>
      <c r="J11" s="104">
        <f t="shared" si="0"/>
        <v>0</v>
      </c>
      <c r="K11" s="66">
        <f>'StdVS Unterhaltsreinigung (UHR)'!$C$57</f>
        <v>0</v>
      </c>
      <c r="L11" s="105">
        <f t="shared" si="2"/>
        <v>0</v>
      </c>
      <c r="M11" s="105">
        <f t="shared" si="3"/>
        <v>0</v>
      </c>
      <c r="N11" s="110">
        <f t="shared" si="4"/>
        <v>0</v>
      </c>
      <c r="P11" s="10"/>
      <c r="Q11" s="10"/>
      <c r="R11" s="10"/>
      <c r="S11" s="10"/>
      <c r="T11" s="10"/>
    </row>
    <row r="12" spans="1:20" ht="12.75">
      <c r="A12" s="590" t="s">
        <v>396</v>
      </c>
      <c r="B12" s="404" t="s">
        <v>16</v>
      </c>
      <c r="C12" s="344" t="s">
        <v>248</v>
      </c>
      <c r="D12" s="90"/>
      <c r="E12" s="389" t="s">
        <v>22</v>
      </c>
      <c r="F12" s="346">
        <v>54</v>
      </c>
      <c r="G12" s="65" t="str">
        <f>VLOOKUP(A12,'Matrix Aussegnungshalle'!$A$2:$C$7,3,1)</f>
        <v>1 x m</v>
      </c>
      <c r="H12" s="104">
        <f t="shared" si="1"/>
        <v>54</v>
      </c>
      <c r="I12" s="352">
        <f>VLOOKUP(A12,'Matrix Aussegnungshalle'!$A$2:$C$7,2,1)</f>
        <v>0</v>
      </c>
      <c r="J12" s="104">
        <f t="shared" si="0"/>
        <v>0</v>
      </c>
      <c r="K12" s="66">
        <f>'StdVS Unterhaltsreinigung (UHR)'!$C$57</f>
        <v>0</v>
      </c>
      <c r="L12" s="105">
        <f t="shared" si="2"/>
        <v>0</v>
      </c>
      <c r="M12" s="105">
        <f t="shared" si="3"/>
        <v>0</v>
      </c>
      <c r="N12" s="110">
        <f t="shared" si="4"/>
        <v>0</v>
      </c>
      <c r="P12" s="10"/>
      <c r="Q12" s="10"/>
      <c r="R12" s="10"/>
      <c r="S12" s="10"/>
      <c r="T12" s="10"/>
    </row>
    <row r="13" spans="1:20" ht="12.75">
      <c r="A13" s="590" t="s">
        <v>396</v>
      </c>
      <c r="B13" s="404" t="s">
        <v>16</v>
      </c>
      <c r="C13" s="344" t="s">
        <v>211</v>
      </c>
      <c r="D13" s="90"/>
      <c r="E13" s="389" t="s">
        <v>22</v>
      </c>
      <c r="F13" s="346">
        <v>179.3</v>
      </c>
      <c r="G13" s="65" t="str">
        <f>VLOOKUP(A13,'Matrix Aussegnungshalle'!$A$2:$C$7,3,1)</f>
        <v>1 x m</v>
      </c>
      <c r="H13" s="104">
        <f t="shared" si="1"/>
        <v>179.3</v>
      </c>
      <c r="I13" s="352">
        <f>VLOOKUP(A13,'Matrix Aussegnungshalle'!$A$2:$C$7,2,1)</f>
        <v>0</v>
      </c>
      <c r="J13" s="104">
        <f t="shared" si="0"/>
        <v>0</v>
      </c>
      <c r="K13" s="66">
        <f>'StdVS Unterhaltsreinigung (UHR)'!$C$57</f>
        <v>0</v>
      </c>
      <c r="L13" s="105">
        <f t="shared" si="2"/>
        <v>0</v>
      </c>
      <c r="M13" s="105">
        <f t="shared" si="3"/>
        <v>0</v>
      </c>
      <c r="N13" s="110">
        <f t="shared" si="4"/>
        <v>0</v>
      </c>
      <c r="P13" s="10"/>
      <c r="Q13" s="10"/>
      <c r="R13" s="10"/>
      <c r="S13" s="10"/>
      <c r="T13" s="10"/>
    </row>
    <row r="14" spans="1:20" ht="12.75">
      <c r="A14" s="590" t="s">
        <v>397</v>
      </c>
      <c r="B14" s="404" t="s">
        <v>16</v>
      </c>
      <c r="C14" s="344" t="s">
        <v>249</v>
      </c>
      <c r="D14" s="90"/>
      <c r="E14" s="389" t="s">
        <v>22</v>
      </c>
      <c r="F14" s="346">
        <v>8.8</v>
      </c>
      <c r="G14" s="65" t="str">
        <f>VLOOKUP(A14,'Matrix Aussegnungshalle'!$A$2:$C$7,3,1)</f>
        <v>1 x m</v>
      </c>
      <c r="H14" s="104">
        <f t="shared" si="1"/>
        <v>8.8</v>
      </c>
      <c r="I14" s="352">
        <f>VLOOKUP(A14,'Matrix Aussegnungshalle'!$A$2:$C$7,2,1)</f>
        <v>0</v>
      </c>
      <c r="J14" s="104">
        <f t="shared" si="0"/>
        <v>0</v>
      </c>
      <c r="K14" s="66">
        <f>'StdVS Unterhaltsreinigung (UHR)'!$C$57</f>
        <v>0</v>
      </c>
      <c r="L14" s="105">
        <f t="shared" si="2"/>
        <v>0</v>
      </c>
      <c r="M14" s="105">
        <f t="shared" si="3"/>
        <v>0</v>
      </c>
      <c r="N14" s="110">
        <f t="shared" si="4"/>
        <v>0</v>
      </c>
      <c r="P14" s="10"/>
      <c r="Q14" s="10"/>
      <c r="R14" s="10"/>
      <c r="S14" s="10"/>
      <c r="T14" s="10"/>
    </row>
    <row r="15" spans="1:20" ht="12.75">
      <c r="A15" s="590" t="s">
        <v>397</v>
      </c>
      <c r="B15" s="404" t="s">
        <v>16</v>
      </c>
      <c r="C15" s="344" t="s">
        <v>250</v>
      </c>
      <c r="D15" s="90"/>
      <c r="E15" s="389" t="s">
        <v>394</v>
      </c>
      <c r="F15" s="346">
        <v>0.72</v>
      </c>
      <c r="G15" s="65" t="str">
        <f>VLOOKUP(A15,'Matrix Aussegnungshalle'!$A$2:$C$7,3,1)</f>
        <v>1 x m</v>
      </c>
      <c r="H15" s="104">
        <f t="shared" si="1"/>
        <v>0.72</v>
      </c>
      <c r="I15" s="352">
        <f>VLOOKUP(A15,'Matrix Aussegnungshalle'!$A$2:$C$7,2,1)</f>
        <v>0</v>
      </c>
      <c r="J15" s="104">
        <f t="shared" si="0"/>
        <v>0</v>
      </c>
      <c r="K15" s="66">
        <f>'StdVS Unterhaltsreinigung (UHR)'!$C$57</f>
        <v>0</v>
      </c>
      <c r="L15" s="105">
        <f t="shared" si="2"/>
        <v>0</v>
      </c>
      <c r="M15" s="105">
        <f t="shared" si="3"/>
        <v>0</v>
      </c>
      <c r="N15" s="110">
        <f t="shared" si="4"/>
        <v>0</v>
      </c>
      <c r="P15" s="10"/>
      <c r="Q15" s="10"/>
      <c r="R15" s="10"/>
      <c r="S15" s="10"/>
      <c r="T15" s="10"/>
    </row>
    <row r="16" spans="1:20" ht="26.25">
      <c r="A16" s="590" t="s">
        <v>398</v>
      </c>
      <c r="B16" s="404" t="s">
        <v>16</v>
      </c>
      <c r="C16" s="344" t="s">
        <v>251</v>
      </c>
      <c r="D16" s="90"/>
      <c r="E16" s="389" t="s">
        <v>22</v>
      </c>
      <c r="F16" s="346">
        <v>13.5</v>
      </c>
      <c r="G16" s="65" t="str">
        <f>VLOOKUP(A16,'Matrix Aussegnungshalle'!$A$2:$C$7,3,1)</f>
        <v>1 x m</v>
      </c>
      <c r="H16" s="104">
        <f t="shared" si="1"/>
        <v>13.5</v>
      </c>
      <c r="I16" s="352">
        <f>VLOOKUP(A16,'Matrix Aussegnungshalle'!$A$2:$C$7,2,1)</f>
        <v>0</v>
      </c>
      <c r="J16" s="104">
        <f t="shared" si="0"/>
        <v>0</v>
      </c>
      <c r="K16" s="66">
        <f>'StdVS Unterhaltsreinigung (UHR)'!$C$57</f>
        <v>0</v>
      </c>
      <c r="L16" s="105">
        <f t="shared" si="2"/>
        <v>0</v>
      </c>
      <c r="M16" s="105">
        <f t="shared" si="3"/>
        <v>0</v>
      </c>
      <c r="N16" s="110">
        <f t="shared" si="4"/>
        <v>0</v>
      </c>
      <c r="P16" s="10"/>
      <c r="Q16" s="10"/>
      <c r="R16" s="10"/>
      <c r="S16" s="10"/>
      <c r="T16" s="10"/>
    </row>
    <row r="17" spans="1:20" ht="12.75">
      <c r="A17" s="590" t="s">
        <v>399</v>
      </c>
      <c r="B17" s="404" t="s">
        <v>16</v>
      </c>
      <c r="C17" s="344" t="s">
        <v>185</v>
      </c>
      <c r="D17" s="90"/>
      <c r="E17" s="389" t="s">
        <v>22</v>
      </c>
      <c r="F17" s="346">
        <v>7.040000000000001</v>
      </c>
      <c r="G17" s="397" t="s">
        <v>295</v>
      </c>
      <c r="H17" s="104">
        <f>SUM(F17*(IF(G17=1,4.33,(IF(G17=2,8.4,(IF(G17=2.5,8.3,(IF(G17=3,12.9,(IF(G17=5,21,(IF(G17=0.25,1,(IF(G17="2 x m",3.2)))))))))))))))</f>
        <v>0</v>
      </c>
      <c r="I17" s="352">
        <v>0</v>
      </c>
      <c r="J17" s="104">
        <f t="shared" si="0"/>
        <v>0</v>
      </c>
      <c r="K17" s="66">
        <f>'StdVS Unterhaltsreinigung (UHR)'!$C$57</f>
        <v>0</v>
      </c>
      <c r="L17" s="105">
        <f t="shared" si="2"/>
        <v>0</v>
      </c>
      <c r="M17" s="105">
        <f t="shared" si="3"/>
        <v>0</v>
      </c>
      <c r="N17" s="110">
        <f t="shared" si="4"/>
        <v>0</v>
      </c>
      <c r="P17" s="10"/>
      <c r="Q17" s="10"/>
      <c r="R17" s="10"/>
      <c r="S17" s="10"/>
      <c r="T17" s="10"/>
    </row>
    <row r="18" spans="1:20" ht="12.75">
      <c r="A18" s="590" t="s">
        <v>38</v>
      </c>
      <c r="B18" s="404" t="s">
        <v>16</v>
      </c>
      <c r="C18" s="344" t="s">
        <v>53</v>
      </c>
      <c r="D18" s="90"/>
      <c r="E18" s="389" t="s">
        <v>395</v>
      </c>
      <c r="F18" s="346">
        <v>6.6000000000000005</v>
      </c>
      <c r="G18" s="65">
        <f>VLOOKUP(A18,'Matrix Aussegnungshalle'!$A$2:$C$7,3,1)</f>
        <v>1</v>
      </c>
      <c r="H18" s="104">
        <f>SUM(F18*(IF(G18=1,4.33,(IF(G18=2,8.4,(IF(G18=2.5,8.3,(IF(G18=3,12.9,(IF(G18=5,21,(IF(G18=0.25,1,(IF(G18="2 x m",3.2)))))))))))))))</f>
        <v>28.578000000000003</v>
      </c>
      <c r="I18" s="352">
        <f>VLOOKUP(A18,'Matrix Aussegnungshalle'!$A$2:$C$7,2,1)</f>
        <v>0</v>
      </c>
      <c r="J18" s="104">
        <f t="shared" si="0"/>
        <v>0</v>
      </c>
      <c r="K18" s="66">
        <f>'StdVS Unterhaltsreinigung (UHR)'!$C$57</f>
        <v>0</v>
      </c>
      <c r="L18" s="105">
        <f t="shared" si="2"/>
        <v>0</v>
      </c>
      <c r="M18" s="105">
        <f t="shared" si="3"/>
        <v>0</v>
      </c>
      <c r="N18" s="110">
        <f t="shared" si="4"/>
        <v>0</v>
      </c>
      <c r="P18" s="10"/>
      <c r="Q18" s="10"/>
      <c r="R18" s="10"/>
      <c r="S18" s="10"/>
      <c r="T18" s="10"/>
    </row>
    <row r="19" spans="1:20" ht="13.5" thickBot="1">
      <c r="A19" s="591" t="s">
        <v>38</v>
      </c>
      <c r="B19" s="592" t="s">
        <v>16</v>
      </c>
      <c r="C19" s="558" t="s">
        <v>52</v>
      </c>
      <c r="D19" s="583"/>
      <c r="E19" s="563" t="s">
        <v>395</v>
      </c>
      <c r="F19" s="559">
        <v>4.495</v>
      </c>
      <c r="G19" s="89">
        <f>VLOOKUP(A19,'Matrix Aussegnungshalle'!$A$2:$C$7,3,1)</f>
        <v>1</v>
      </c>
      <c r="H19" s="111">
        <f>SUM(F19*(IF(G19=1,4.33,(IF(G19=2,8.4,(IF(G19=2.5,8.3,(IF(G19=3,12.9,(IF(G19=5,21,(IF(G19=0.25,1,(IF(G19="2 x m",3.2)))))))))))))))</f>
        <v>19.463350000000002</v>
      </c>
      <c r="I19" s="565">
        <f>VLOOKUP(A19,'Matrix Aussegnungshalle'!$A$2:$C$7,2,1)</f>
        <v>0</v>
      </c>
      <c r="J19" s="111">
        <f>IF(I19&gt;0,SUM(H19/I19),0)</f>
        <v>0</v>
      </c>
      <c r="K19" s="557">
        <f>'StdVS Unterhaltsreinigung (UHR)'!$C$57</f>
        <v>0</v>
      </c>
      <c r="L19" s="112">
        <f>SUM(J19*K19)</f>
        <v>0</v>
      </c>
      <c r="M19" s="112">
        <f>L19*12</f>
        <v>0</v>
      </c>
      <c r="N19" s="113">
        <f>IF(H19&gt;0,L19/H19,0)</f>
        <v>0</v>
      </c>
      <c r="P19" s="10"/>
      <c r="Q19" s="10"/>
      <c r="R19" s="10"/>
      <c r="S19" s="10"/>
      <c r="T19" s="10"/>
    </row>
    <row r="20" spans="1:20" ht="13.5" thickBot="1">
      <c r="A20" s="587" t="s">
        <v>48</v>
      </c>
      <c r="B20" s="37"/>
      <c r="C20" s="35"/>
      <c r="D20" s="79"/>
      <c r="E20" s="35"/>
      <c r="F20" s="36">
        <f>SUM(F8:F19)</f>
        <v>382.35500000000013</v>
      </c>
      <c r="G20" s="100"/>
      <c r="H20" s="101">
        <f>SUM(H8:H19)</f>
        <v>412.2613500000001</v>
      </c>
      <c r="I20" s="102" t="e">
        <f>H20/J20</f>
        <v>#DIV/0!</v>
      </c>
      <c r="J20" s="101">
        <f>SUM(J8:J19)</f>
        <v>0</v>
      </c>
      <c r="K20" s="67" t="s">
        <v>8</v>
      </c>
      <c r="L20" s="68">
        <f>SUM(L8:L19)</f>
        <v>0</v>
      </c>
      <c r="M20" s="68">
        <f>L20*12</f>
        <v>0</v>
      </c>
      <c r="N20" s="103">
        <f>L20/H20</f>
        <v>0</v>
      </c>
      <c r="P20" s="10"/>
      <c r="Q20" s="10"/>
      <c r="R20" s="10"/>
      <c r="S20" s="10"/>
      <c r="T20" s="10"/>
    </row>
    <row r="21" spans="2:20" ht="27" thickBot="1">
      <c r="B21" s="8"/>
      <c r="D21" s="4"/>
      <c r="F21" s="80"/>
      <c r="G21"/>
      <c r="H21" s="4"/>
      <c r="I21" s="114" t="s">
        <v>58</v>
      </c>
      <c r="K21" s="67" t="s">
        <v>7</v>
      </c>
      <c r="L21" s="68">
        <f>SUM(L20*0.19)</f>
        <v>0</v>
      </c>
      <c r="M21" s="68">
        <f>SUM(M20*0.19)</f>
        <v>0</v>
      </c>
      <c r="P21" s="10"/>
      <c r="Q21" s="10"/>
      <c r="R21" s="10"/>
      <c r="S21" s="10"/>
      <c r="T21" s="10"/>
    </row>
    <row r="22" spans="1:16" ht="15.75" customHeight="1" thickBot="1">
      <c r="A22" s="38"/>
      <c r="B22" s="540"/>
      <c r="C22" s="540"/>
      <c r="D22" s="4"/>
      <c r="F22" s="80"/>
      <c r="G22" s="41"/>
      <c r="H22" s="59"/>
      <c r="I22" s="41"/>
      <c r="J22" s="41"/>
      <c r="K22" s="62" t="s">
        <v>9</v>
      </c>
      <c r="L22" s="61">
        <f>SUM(L21+L20)</f>
        <v>0</v>
      </c>
      <c r="M22" s="61">
        <f>SUM(M21+M20)</f>
        <v>0</v>
      </c>
      <c r="N22" s="60"/>
      <c r="O22" s="34"/>
      <c r="P22" s="10"/>
    </row>
    <row r="23" spans="2:20" ht="12.75">
      <c r="B23" s="1"/>
      <c r="D23" s="4"/>
      <c r="F23" s="80"/>
      <c r="G23"/>
      <c r="H23" s="4"/>
      <c r="I23"/>
      <c r="K23" s="14"/>
      <c r="L23" s="23"/>
      <c r="M23" s="23"/>
      <c r="N23" s="24"/>
      <c r="P23" s="10"/>
      <c r="Q23" s="10"/>
      <c r="R23" s="10"/>
      <c r="S23" s="10"/>
      <c r="T23" s="10"/>
    </row>
    <row r="24" spans="1:20" ht="15">
      <c r="A24" s="69"/>
      <c r="B24" s="27"/>
      <c r="D24" s="4"/>
      <c r="F24" s="80"/>
      <c r="G24"/>
      <c r="H24" s="4"/>
      <c r="I24"/>
      <c r="K24" s="14"/>
      <c r="P24" s="10"/>
      <c r="Q24" s="10"/>
      <c r="R24" s="10"/>
      <c r="S24" s="10"/>
      <c r="T24" s="10"/>
    </row>
    <row r="25" spans="1:20" ht="12.75">
      <c r="A25" s="1"/>
      <c r="B25" s="27"/>
      <c r="D25" s="4"/>
      <c r="F25" s="80"/>
      <c r="G25"/>
      <c r="H25" s="18"/>
      <c r="I25" s="10"/>
      <c r="J25" s="10"/>
      <c r="K25" s="10"/>
      <c r="L25" s="17"/>
      <c r="M25" s="10"/>
      <c r="P25" s="10"/>
      <c r="Q25" s="10"/>
      <c r="R25" s="10"/>
      <c r="S25" s="10"/>
      <c r="T25" s="10"/>
    </row>
    <row r="26" spans="6:20" ht="12.75">
      <c r="F26" s="80"/>
      <c r="I26"/>
      <c r="P26" s="10"/>
      <c r="Q26" s="10"/>
      <c r="R26" s="10"/>
      <c r="S26" s="10"/>
      <c r="T26" s="10"/>
    </row>
    <row r="27" spans="6:20" ht="12.75">
      <c r="F27" s="80"/>
      <c r="I27"/>
      <c r="P27" s="10"/>
      <c r="Q27" s="10"/>
      <c r="R27" s="10"/>
      <c r="S27" s="10"/>
      <c r="T27" s="10"/>
    </row>
    <row r="28" spans="1:20" ht="12.75">
      <c r="A28" s="10"/>
      <c r="B28" s="10"/>
      <c r="C28" s="10"/>
      <c r="D28" s="10"/>
      <c r="E28" s="10"/>
      <c r="F28" s="10"/>
      <c r="G28" s="17"/>
      <c r="H28" s="10"/>
      <c r="I28" s="17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sheetProtection password="CC4A" sheet="1" selectLockedCells="1" sort="0" selectUnlockedCells="1"/>
  <protectedRanges>
    <protectedRange sqref="A7" name="Bereich1_1_1_1"/>
  </protectedRanges>
  <mergeCells count="7">
    <mergeCell ref="A6:A7"/>
    <mergeCell ref="N6:N7"/>
    <mergeCell ref="J6:J7"/>
    <mergeCell ref="K6:K7"/>
    <mergeCell ref="L6:L7"/>
    <mergeCell ref="M6:M7"/>
    <mergeCell ref="H6:H7"/>
  </mergeCells>
  <dataValidations count="2">
    <dataValidation type="list" allowBlank="1" sqref="C8:C19">
      <formula1>"Büro,Foyer,Besprechung,Kasse,Beh.WC,WC-D,WC-H,Abstellr.,Kassenhalle,Treppenhaus,Empfang"</formula1>
    </dataValidation>
    <dataValidation type="list" allowBlank="1" sqref="B8:B19">
      <formula1>" 1.UG, 2.UG,0.EG,1.OG,2.OG,3.OG,4.OG,5.OG"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  <headerFooter alignWithMargins="0">
    <oddHeader>&amp;LGemeinde Gingen a.d.F.&amp;C&amp;A&amp;REU-Ausschreibung Gebäudereinigung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5F922"/>
  </sheetPr>
  <dimension ref="A1:G22"/>
  <sheetViews>
    <sheetView zoomScale="90" zoomScaleNormal="90" workbookViewId="0" topLeftCell="A1">
      <selection activeCell="F20" sqref="F20"/>
    </sheetView>
  </sheetViews>
  <sheetFormatPr defaultColWidth="11.421875" defaultRowHeight="12.75"/>
  <cols>
    <col min="1" max="1" width="73.140625" style="0" customWidth="1"/>
    <col min="2" max="2" width="11.28125" style="0" customWidth="1"/>
    <col min="3" max="3" width="11.8515625" style="0" customWidth="1"/>
    <col min="4" max="4" width="12.00390625" style="0" customWidth="1"/>
    <col min="5" max="5" width="12.421875" style="0" customWidth="1"/>
    <col min="6" max="6" width="12.57421875" style="0" customWidth="1"/>
    <col min="7" max="7" width="3.7109375" style="0" customWidth="1"/>
  </cols>
  <sheetData>
    <row r="1" spans="1:7" ht="30.75" customHeight="1" thickBot="1">
      <c r="A1" s="83" t="s">
        <v>300</v>
      </c>
      <c r="B1" s="51" t="s">
        <v>12</v>
      </c>
      <c r="C1" s="412" t="s">
        <v>433</v>
      </c>
      <c r="E1" s="3"/>
      <c r="F1" s="11"/>
      <c r="G1" s="10"/>
    </row>
    <row r="2" spans="1:7" ht="12.75">
      <c r="A2" s="588" t="s">
        <v>396</v>
      </c>
      <c r="B2" s="263"/>
      <c r="C2" s="611" t="s">
        <v>424</v>
      </c>
      <c r="D2" s="46"/>
      <c r="E2" s="70"/>
      <c r="F2" s="70"/>
      <c r="G2" s="10"/>
    </row>
    <row r="3" spans="1:7" ht="12.75">
      <c r="A3" s="590" t="s">
        <v>69</v>
      </c>
      <c r="B3" s="181"/>
      <c r="C3" s="629" t="s">
        <v>424</v>
      </c>
      <c r="D3" s="46"/>
      <c r="E3" s="70"/>
      <c r="F3" s="70"/>
      <c r="G3" s="10"/>
    </row>
    <row r="4" spans="1:7" ht="15" customHeight="1">
      <c r="A4" s="630" t="s">
        <v>43</v>
      </c>
      <c r="B4" s="181"/>
      <c r="C4" s="629" t="s">
        <v>424</v>
      </c>
      <c r="D4" s="71"/>
      <c r="E4" s="526"/>
      <c r="F4" s="70"/>
      <c r="G4" s="10"/>
    </row>
    <row r="5" spans="1:7" ht="12.75">
      <c r="A5" s="590" t="s">
        <v>397</v>
      </c>
      <c r="B5" s="181"/>
      <c r="C5" s="629" t="s">
        <v>424</v>
      </c>
      <c r="D5" s="46"/>
      <c r="E5" s="70"/>
      <c r="F5" s="70"/>
      <c r="G5" s="10"/>
    </row>
    <row r="6" spans="1:7" s="9" customFormat="1" ht="15.75" customHeight="1">
      <c r="A6" s="590" t="s">
        <v>38</v>
      </c>
      <c r="B6" s="181"/>
      <c r="C6" s="54">
        <v>1</v>
      </c>
      <c r="D6" s="72"/>
      <c r="E6" s="10"/>
      <c r="F6" s="10"/>
      <c r="G6" s="10"/>
    </row>
    <row r="7" spans="1:7" s="9" customFormat="1" ht="28.5" customHeight="1" thickBot="1">
      <c r="A7" s="591" t="s">
        <v>398</v>
      </c>
      <c r="B7" s="283"/>
      <c r="C7" s="631" t="s">
        <v>424</v>
      </c>
      <c r="D7" s="73"/>
      <c r="E7" s="74"/>
      <c r="F7" s="74"/>
      <c r="G7" s="10"/>
    </row>
    <row r="8" spans="1:7" s="9" customFormat="1" ht="13.5" customHeight="1">
      <c r="A8" s="11"/>
      <c r="B8" s="20"/>
      <c r="C8" s="25"/>
      <c r="E8" s="11"/>
      <c r="F8" s="11"/>
      <c r="G8" s="10"/>
    </row>
    <row r="9" spans="1:7" s="9" customFormat="1" ht="12" customHeight="1">
      <c r="A9" s="11"/>
      <c r="B9" s="20"/>
      <c r="C9" s="25"/>
      <c r="E9" s="11"/>
      <c r="F9" s="11"/>
      <c r="G9" s="10"/>
    </row>
    <row r="10" spans="1:7" ht="18.75" thickBot="1">
      <c r="A10" s="49" t="s">
        <v>434</v>
      </c>
      <c r="B10" s="519"/>
      <c r="C10" s="315"/>
      <c r="D10" s="22"/>
      <c r="E10" s="3"/>
      <c r="F10" s="11"/>
      <c r="G10" s="10"/>
    </row>
    <row r="11" spans="1:7" ht="43.5" thickBot="1">
      <c r="A11" s="425" t="s">
        <v>428</v>
      </c>
      <c r="B11" s="149" t="s">
        <v>19</v>
      </c>
      <c r="C11" s="291" t="s">
        <v>76</v>
      </c>
      <c r="D11" s="292" t="s">
        <v>17</v>
      </c>
      <c r="E11" s="161" t="s">
        <v>55</v>
      </c>
      <c r="F11" s="162" t="s">
        <v>56</v>
      </c>
      <c r="G11" s="10"/>
    </row>
    <row r="12" spans="1:7" ht="17.25" customHeight="1" thickBot="1">
      <c r="A12" s="402" t="s">
        <v>429</v>
      </c>
      <c r="B12" s="159">
        <v>382.36</v>
      </c>
      <c r="C12" s="287"/>
      <c r="D12" s="288" t="e">
        <f>('StdVS Grundreinigung'!C58)/C12</f>
        <v>#DIV/0!</v>
      </c>
      <c r="E12" s="163" t="e">
        <f>B12*D12</f>
        <v>#DIV/0!</v>
      </c>
      <c r="F12" s="48" t="e">
        <f>E12*1.19</f>
        <v>#DIV/0!</v>
      </c>
      <c r="G12" s="10"/>
    </row>
    <row r="13" spans="1:7" ht="12.75">
      <c r="A13" s="1"/>
      <c r="G13" s="10"/>
    </row>
    <row r="14" spans="1:7" ht="12.75">
      <c r="A14" s="1"/>
      <c r="G14" s="10"/>
    </row>
    <row r="15" spans="1:7" ht="18.75" thickBot="1">
      <c r="A15" s="297" t="s">
        <v>138</v>
      </c>
      <c r="B15" s="519"/>
      <c r="E15" s="45"/>
      <c r="F15" s="3"/>
      <c r="G15" s="10"/>
    </row>
    <row r="16" spans="1:7" ht="25.5">
      <c r="A16" s="426" t="s">
        <v>428</v>
      </c>
      <c r="B16" s="417" t="s">
        <v>19</v>
      </c>
      <c r="C16" s="153" t="s">
        <v>76</v>
      </c>
      <c r="D16" s="154" t="s">
        <v>17</v>
      </c>
      <c r="E16" s="152" t="s">
        <v>55</v>
      </c>
      <c r="F16" s="155" t="s">
        <v>56</v>
      </c>
      <c r="G16" s="10"/>
    </row>
    <row r="17" spans="1:7" ht="12.75">
      <c r="A17" s="409" t="s">
        <v>443</v>
      </c>
      <c r="B17" s="406">
        <v>38.22</v>
      </c>
      <c r="C17" s="301"/>
      <c r="D17" s="303" t="e">
        <f>('StdVS Glas-und Fensterreinigung'!C57)/C17</f>
        <v>#DIV/0!</v>
      </c>
      <c r="E17" s="125" t="e">
        <f>B17*D17</f>
        <v>#DIV/0!</v>
      </c>
      <c r="F17" s="136" t="e">
        <f>E17*1.19</f>
        <v>#DIV/0!</v>
      </c>
      <c r="G17" s="10"/>
    </row>
    <row r="18" spans="1:7" ht="12.75">
      <c r="A18" s="409" t="s">
        <v>444</v>
      </c>
      <c r="B18" s="406">
        <v>54</v>
      </c>
      <c r="C18" s="301"/>
      <c r="D18" s="303" t="e">
        <f>('StdVS Glas-und Fensterreinigung'!C57)/C18</f>
        <v>#DIV/0!</v>
      </c>
      <c r="E18" s="125" t="e">
        <f>B18*D18</f>
        <v>#DIV/0!</v>
      </c>
      <c r="F18" s="136" t="e">
        <f>E18*1.19</f>
        <v>#DIV/0!</v>
      </c>
      <c r="G18" s="10"/>
    </row>
    <row r="19" spans="1:7" ht="12.75">
      <c r="A19" s="409" t="s">
        <v>445</v>
      </c>
      <c r="B19" s="406">
        <v>34.38</v>
      </c>
      <c r="C19" s="301"/>
      <c r="D19" s="303" t="e">
        <f>('StdVS Glas-und Fensterreinigung'!C57)/C19</f>
        <v>#DIV/0!</v>
      </c>
      <c r="E19" s="125" t="e">
        <f>B19*D19</f>
        <v>#DIV/0!</v>
      </c>
      <c r="F19" s="136" t="e">
        <f>E19*1.19</f>
        <v>#DIV/0!</v>
      </c>
      <c r="G19" s="10"/>
    </row>
    <row r="20" spans="1:7" ht="13.5" thickBot="1">
      <c r="A20" s="410" t="s">
        <v>62</v>
      </c>
      <c r="B20" s="407" t="s">
        <v>75</v>
      </c>
      <c r="C20" s="156" t="s">
        <v>75</v>
      </c>
      <c r="D20" s="156" t="s">
        <v>39</v>
      </c>
      <c r="E20" s="157"/>
      <c r="F20" s="158">
        <f>E20*1.19</f>
        <v>0</v>
      </c>
      <c r="G20" s="10"/>
    </row>
    <row r="21" spans="1:6" ht="13.5" thickBot="1">
      <c r="A21" s="411" t="s">
        <v>437</v>
      </c>
      <c r="B21" s="408">
        <f>SUM(B17:B20)</f>
        <v>126.6</v>
      </c>
      <c r="C21" s="160" t="s">
        <v>75</v>
      </c>
      <c r="D21" s="160" t="s">
        <v>39</v>
      </c>
      <c r="E21" s="47" t="e">
        <f>SUM(E17:E20)</f>
        <v>#DIV/0!</v>
      </c>
      <c r="F21" s="48" t="e">
        <f>SUM(F17:F20)</f>
        <v>#DIV/0!</v>
      </c>
    </row>
    <row r="22" ht="12.75">
      <c r="A22" s="405"/>
    </row>
  </sheetData>
  <sheetProtection selectLockedCells="1"/>
  <protectedRanges>
    <protectedRange sqref="D20:D21" name="Bereich1_1"/>
    <protectedRange sqref="E20" name="Bereich1_1_1_1_1"/>
    <protectedRange sqref="D7:F7" name="Bereich1"/>
    <protectedRange sqref="A20:A21 B20:C20 C21" name="Bereich1_1_2"/>
    <protectedRange sqref="D11:D12" name="Bereich1_2_2"/>
    <protectedRange sqref="D17:D19" name="Bereich1_2_1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3"/>
  <headerFooter alignWithMargins="0">
    <oddHeader>&amp;LGemeinde Gingen a.d.F.&amp;C&amp;A&amp;REU-Ausschreibung Gebäudereinigung</oddHead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7"/>
  <sheetViews>
    <sheetView zoomScale="90" zoomScaleNormal="90" zoomScaleSheetLayoutView="100" workbookViewId="0" topLeftCell="A1">
      <selection activeCell="B42" sqref="B42"/>
    </sheetView>
  </sheetViews>
  <sheetFormatPr defaultColWidth="11.421875" defaultRowHeight="12.75"/>
  <cols>
    <col min="1" max="1" width="55.00390625" style="0" customWidth="1"/>
    <col min="2" max="2" width="18.421875" style="0" customWidth="1"/>
    <col min="3" max="3" width="27.8515625" style="0" customWidth="1"/>
    <col min="4" max="4" width="12.7109375" style="0" hidden="1" customWidth="1"/>
    <col min="5" max="5" width="15.8515625" style="0" customWidth="1"/>
    <col min="6" max="6" width="9.8515625" style="0" customWidth="1"/>
    <col min="7" max="7" width="10.00390625" style="4" customWidth="1"/>
    <col min="8" max="8" width="11.140625" style="0" customWidth="1"/>
    <col min="9" max="9" width="10.28125" style="4" customWidth="1"/>
    <col min="10" max="10" width="10.57421875" style="0" customWidth="1"/>
    <col min="11" max="11" width="13.421875" style="0" customWidth="1"/>
    <col min="12" max="12" width="13.7109375" style="0" customWidth="1"/>
    <col min="13" max="13" width="15.00390625" style="0" customWidth="1"/>
    <col min="14" max="14" width="13.00390625" style="0" customWidth="1"/>
    <col min="15" max="15" width="10.7109375" style="0" customWidth="1"/>
  </cols>
  <sheetData>
    <row r="1" spans="1:20" ht="12.75">
      <c r="A1" s="1" t="s">
        <v>10</v>
      </c>
      <c r="B1" s="130" t="s">
        <v>143</v>
      </c>
      <c r="D1" s="5"/>
      <c r="F1" s="5"/>
      <c r="G1" s="3"/>
      <c r="H1" s="4"/>
      <c r="I1"/>
      <c r="P1" s="10"/>
      <c r="Q1" s="10"/>
      <c r="R1" s="10"/>
      <c r="S1" s="10"/>
      <c r="T1" s="10"/>
    </row>
    <row r="2" spans="1:20" ht="12.75">
      <c r="A2" s="1" t="s">
        <v>34</v>
      </c>
      <c r="B2" s="130" t="s">
        <v>538</v>
      </c>
      <c r="C2" s="41"/>
      <c r="D2" s="63"/>
      <c r="F2" s="5"/>
      <c r="G2" s="3"/>
      <c r="H2" s="4"/>
      <c r="I2"/>
      <c r="P2" s="10"/>
      <c r="Q2" s="10"/>
      <c r="R2" s="10"/>
      <c r="S2" s="10"/>
      <c r="T2" s="10"/>
    </row>
    <row r="3" spans="1:20" ht="12.75">
      <c r="A3" s="1" t="s">
        <v>23</v>
      </c>
      <c r="B3" s="27" t="s">
        <v>545</v>
      </c>
      <c r="C3" s="41"/>
      <c r="D3" s="5"/>
      <c r="F3" s="5"/>
      <c r="G3" s="3"/>
      <c r="H3" s="4"/>
      <c r="I3"/>
      <c r="P3" s="10"/>
      <c r="Q3" s="10"/>
      <c r="R3" s="10"/>
      <c r="S3" s="10"/>
      <c r="T3" s="10"/>
    </row>
    <row r="4" spans="1:20" ht="17.25">
      <c r="A4" s="1" t="s">
        <v>29</v>
      </c>
      <c r="B4" s="87"/>
      <c r="C4" s="78"/>
      <c r="D4" s="17"/>
      <c r="E4" s="9"/>
      <c r="F4" s="5"/>
      <c r="G4" s="3"/>
      <c r="H4" s="4"/>
      <c r="I4"/>
      <c r="P4" s="10"/>
      <c r="Q4" s="10"/>
      <c r="R4" s="10"/>
      <c r="S4" s="10"/>
      <c r="T4" s="10"/>
    </row>
    <row r="5" spans="1:20" ht="15.75" thickBot="1">
      <c r="A5" s="1" t="s">
        <v>11</v>
      </c>
      <c r="B5" s="400" t="s">
        <v>427</v>
      </c>
      <c r="C5" s="137"/>
      <c r="D5" s="84" t="s">
        <v>24</v>
      </c>
      <c r="E5" s="9"/>
      <c r="F5" s="519"/>
      <c r="G5" s="519"/>
      <c r="H5" s="519"/>
      <c r="I5" s="519"/>
      <c r="N5" s="2"/>
      <c r="P5" s="10"/>
      <c r="Q5" s="10"/>
      <c r="R5" s="10"/>
      <c r="S5" s="10"/>
      <c r="T5" s="10"/>
    </row>
    <row r="6" spans="1:20" ht="20.25">
      <c r="A6" s="684" t="s">
        <v>14</v>
      </c>
      <c r="B6" s="284" t="s">
        <v>519</v>
      </c>
      <c r="C6" s="30" t="s">
        <v>15</v>
      </c>
      <c r="D6" s="31" t="s">
        <v>25</v>
      </c>
      <c r="E6" s="29" t="s">
        <v>28</v>
      </c>
      <c r="F6" s="31" t="s">
        <v>26</v>
      </c>
      <c r="G6" s="32" t="s">
        <v>13</v>
      </c>
      <c r="H6" s="686" t="s">
        <v>44</v>
      </c>
      <c r="I6" s="30" t="s">
        <v>2</v>
      </c>
      <c r="J6" s="684" t="s">
        <v>49</v>
      </c>
      <c r="K6" s="684" t="s">
        <v>32</v>
      </c>
      <c r="L6" s="684" t="s">
        <v>5</v>
      </c>
      <c r="M6" s="684" t="s">
        <v>4</v>
      </c>
      <c r="N6" s="684" t="s">
        <v>6</v>
      </c>
      <c r="P6" s="10"/>
      <c r="Q6" s="10"/>
      <c r="R6" s="10"/>
      <c r="S6" s="10"/>
      <c r="T6" s="10"/>
    </row>
    <row r="7" spans="1:20" ht="13.5" thickBot="1">
      <c r="A7" s="685"/>
      <c r="B7" s="546" t="s">
        <v>520</v>
      </c>
      <c r="C7" s="6"/>
      <c r="D7" s="7" t="s">
        <v>1</v>
      </c>
      <c r="E7" s="52"/>
      <c r="F7" s="7" t="s">
        <v>1</v>
      </c>
      <c r="G7" s="98"/>
      <c r="H7" s="687"/>
      <c r="I7" s="53" t="s">
        <v>3</v>
      </c>
      <c r="J7" s="685"/>
      <c r="K7" s="685"/>
      <c r="L7" s="685"/>
      <c r="M7" s="685"/>
      <c r="N7" s="685"/>
      <c r="P7" s="10"/>
      <c r="Q7" s="10"/>
      <c r="R7" s="10"/>
      <c r="S7" s="10"/>
      <c r="T7" s="10"/>
    </row>
    <row r="8" spans="1:20" ht="12.75">
      <c r="A8" s="588" t="s">
        <v>36</v>
      </c>
      <c r="B8" s="543" t="s">
        <v>16</v>
      </c>
      <c r="C8" s="549" t="s">
        <v>401</v>
      </c>
      <c r="D8" s="549" t="s">
        <v>22</v>
      </c>
      <c r="E8" s="549" t="s">
        <v>22</v>
      </c>
      <c r="F8" s="568">
        <v>24.98</v>
      </c>
      <c r="G8" s="106" t="str">
        <f>VLOOKUP(A8,'Matrix Feuerwache'!$A$2:$C$7,3,1)</f>
        <v>1 x m</v>
      </c>
      <c r="H8" s="107">
        <f>SUM(F8*(IF(G8=1,4.2,(IF(G8=2,8.4,(IF(G8=2.5,8.3,(IF(G8=3,12.9,(IF(G8=5,21,(IF(G8=0.25,1.05,(IF(G8="1 x m",1)))))))))))))))</f>
        <v>24.98</v>
      </c>
      <c r="I8" s="596">
        <f>VLOOKUP(A8,'Matrix Feuerwache'!$A$2:$C$7,2,1)</f>
        <v>0</v>
      </c>
      <c r="J8" s="107">
        <f aca="true" t="shared" si="0" ref="J8:J26">IF(I8&gt;0,SUM(H8/I8),0)</f>
        <v>0</v>
      </c>
      <c r="K8" s="551">
        <f>'StdVS Unterhaltsreinigung (UHR)'!$C$57</f>
        <v>0</v>
      </c>
      <c r="L8" s="108">
        <f aca="true" t="shared" si="1" ref="L8:L26">SUM(J8*K8)</f>
        <v>0</v>
      </c>
      <c r="M8" s="108">
        <f aca="true" t="shared" si="2" ref="M8:M26">L8*12</f>
        <v>0</v>
      </c>
      <c r="N8" s="109">
        <f aca="true" t="shared" si="3" ref="N8:N26">IF(H8&gt;0,L8/H8,0)</f>
        <v>0</v>
      </c>
      <c r="P8" s="10"/>
      <c r="Q8" s="10"/>
      <c r="R8" s="10"/>
      <c r="S8" s="10"/>
      <c r="T8" s="10"/>
    </row>
    <row r="9" spans="1:20" ht="12.75">
      <c r="A9" s="590" t="s">
        <v>36</v>
      </c>
      <c r="B9" s="401" t="s">
        <v>16</v>
      </c>
      <c r="C9" s="344" t="s">
        <v>402</v>
      </c>
      <c r="D9" s="344" t="s">
        <v>22</v>
      </c>
      <c r="E9" s="344" t="s">
        <v>22</v>
      </c>
      <c r="F9" s="347">
        <v>12.94</v>
      </c>
      <c r="G9" s="65" t="str">
        <f>VLOOKUP(A9,'Matrix Feuerwache'!$A$2:$C$7,3,1)</f>
        <v>1 x m</v>
      </c>
      <c r="H9" s="104">
        <f aca="true" t="shared" si="4" ref="H9:H38">SUM(F9*(IF(G9=1,4.2,(IF(G9=2,8.4,(IF(G9=2.5,8.3,(IF(G9=3,12.9,(IF(G9=5,21,(IF(G9=0.25,1.05,(IF(G9="1 x m",1)))))))))))))))</f>
        <v>12.94</v>
      </c>
      <c r="I9" s="352">
        <f>VLOOKUP(A9,'Matrix Feuerwache'!$A$2:$C$7,2,1)</f>
        <v>0</v>
      </c>
      <c r="J9" s="104">
        <f aca="true" t="shared" si="5" ref="J9:J16">IF(I9&gt;0,SUM(H9/I9),0)</f>
        <v>0</v>
      </c>
      <c r="K9" s="66">
        <f>'StdVS Unterhaltsreinigung (UHR)'!$C$57</f>
        <v>0</v>
      </c>
      <c r="L9" s="105">
        <f aca="true" t="shared" si="6" ref="L9:L16">SUM(J9*K9)</f>
        <v>0</v>
      </c>
      <c r="M9" s="105">
        <f aca="true" t="shared" si="7" ref="M9:M16">L9*12</f>
        <v>0</v>
      </c>
      <c r="N9" s="110">
        <f aca="true" t="shared" si="8" ref="N9:N16">IF(H9&gt;0,L9/H9,0)</f>
        <v>0</v>
      </c>
      <c r="P9" s="10"/>
      <c r="Q9" s="10"/>
      <c r="R9" s="10"/>
      <c r="S9" s="10"/>
      <c r="T9" s="10"/>
    </row>
    <row r="10" spans="1:20" ht="12.75">
      <c r="A10" s="590" t="s">
        <v>36</v>
      </c>
      <c r="B10" s="401" t="s">
        <v>16</v>
      </c>
      <c r="C10" s="344" t="s">
        <v>403</v>
      </c>
      <c r="D10" s="344" t="s">
        <v>22</v>
      </c>
      <c r="E10" s="344" t="s">
        <v>22</v>
      </c>
      <c r="F10" s="347">
        <v>7</v>
      </c>
      <c r="G10" s="352">
        <v>1</v>
      </c>
      <c r="H10" s="104">
        <f>SUM(F10*(IF(G10=1,4.33,(IF(G10=2,8.4,(IF(G10=2.5,8.3,(IF(G10=3,12.9,(IF(G10=5,21,(IF(G10=0.25,1.05,(IF(G10="1 x m",1)))))))))))))))</f>
        <v>30.310000000000002</v>
      </c>
      <c r="I10" s="352">
        <f>VLOOKUP(A10,'Matrix Feuerwache'!$A$2:$C$7,2,1)</f>
        <v>0</v>
      </c>
      <c r="J10" s="104">
        <f t="shared" si="5"/>
        <v>0</v>
      </c>
      <c r="K10" s="66">
        <f>'StdVS Unterhaltsreinigung (UHR)'!$C$57</f>
        <v>0</v>
      </c>
      <c r="L10" s="105">
        <f t="shared" si="6"/>
        <v>0</v>
      </c>
      <c r="M10" s="105">
        <f t="shared" si="7"/>
        <v>0</v>
      </c>
      <c r="N10" s="110">
        <f t="shared" si="8"/>
        <v>0</v>
      </c>
      <c r="P10" s="10"/>
      <c r="Q10" s="10"/>
      <c r="R10" s="10"/>
      <c r="S10" s="10"/>
      <c r="T10" s="10"/>
    </row>
    <row r="11" spans="1:20" ht="12.75">
      <c r="A11" s="590" t="s">
        <v>38</v>
      </c>
      <c r="B11" s="401" t="s">
        <v>16</v>
      </c>
      <c r="C11" s="344" t="s">
        <v>404</v>
      </c>
      <c r="D11" s="344" t="s">
        <v>22</v>
      </c>
      <c r="E11" s="344" t="s">
        <v>22</v>
      </c>
      <c r="F11" s="347">
        <v>6.04</v>
      </c>
      <c r="G11" s="65" t="str">
        <f>VLOOKUP(A11,'Matrix Feuerwache'!$A$2:$C$7,3,1)</f>
        <v>1 x m</v>
      </c>
      <c r="H11" s="104">
        <f t="shared" si="4"/>
        <v>6.04</v>
      </c>
      <c r="I11" s="352">
        <f>VLOOKUP(A11,'Matrix Feuerwache'!$A$2:$C$7,2,1)</f>
        <v>0</v>
      </c>
      <c r="J11" s="104">
        <f t="shared" si="5"/>
        <v>0</v>
      </c>
      <c r="K11" s="66">
        <f>'StdVS Unterhaltsreinigung (UHR)'!$C$57</f>
        <v>0</v>
      </c>
      <c r="L11" s="105">
        <f t="shared" si="6"/>
        <v>0</v>
      </c>
      <c r="M11" s="105">
        <f t="shared" si="7"/>
        <v>0</v>
      </c>
      <c r="N11" s="110">
        <f t="shared" si="8"/>
        <v>0</v>
      </c>
      <c r="P11" s="10"/>
      <c r="Q11" s="10"/>
      <c r="R11" s="10"/>
      <c r="S11" s="10"/>
      <c r="T11" s="10"/>
    </row>
    <row r="12" spans="1:20" ht="12.75">
      <c r="A12" s="590" t="s">
        <v>38</v>
      </c>
      <c r="B12" s="401" t="s">
        <v>16</v>
      </c>
      <c r="C12" s="344" t="s">
        <v>405</v>
      </c>
      <c r="D12" s="344" t="s">
        <v>22</v>
      </c>
      <c r="E12" s="344" t="s">
        <v>22</v>
      </c>
      <c r="F12" s="347">
        <v>7.03</v>
      </c>
      <c r="G12" s="65" t="str">
        <f>VLOOKUP(A12,'Matrix Feuerwache'!$A$2:$C$7,3,1)</f>
        <v>1 x m</v>
      </c>
      <c r="H12" s="104">
        <f t="shared" si="4"/>
        <v>7.03</v>
      </c>
      <c r="I12" s="352">
        <f>VLOOKUP(A12,'Matrix Feuerwache'!$A$2:$C$7,2,1)</f>
        <v>0</v>
      </c>
      <c r="J12" s="104">
        <f t="shared" si="5"/>
        <v>0</v>
      </c>
      <c r="K12" s="66">
        <f>'StdVS Unterhaltsreinigung (UHR)'!$C$57</f>
        <v>0</v>
      </c>
      <c r="L12" s="105">
        <f t="shared" si="6"/>
        <v>0</v>
      </c>
      <c r="M12" s="105">
        <f t="shared" si="7"/>
        <v>0</v>
      </c>
      <c r="N12" s="110">
        <f t="shared" si="8"/>
        <v>0</v>
      </c>
      <c r="P12" s="10"/>
      <c r="Q12" s="10"/>
      <c r="R12" s="10"/>
      <c r="S12" s="10"/>
      <c r="T12" s="10"/>
    </row>
    <row r="13" spans="1:20" ht="12.75">
      <c r="A13" s="590" t="s">
        <v>399</v>
      </c>
      <c r="B13" s="401" t="s">
        <v>16</v>
      </c>
      <c r="C13" s="344" t="s">
        <v>406</v>
      </c>
      <c r="D13" s="344" t="s">
        <v>22</v>
      </c>
      <c r="E13" s="344" t="s">
        <v>22</v>
      </c>
      <c r="F13" s="347">
        <v>15.76</v>
      </c>
      <c r="G13" s="397" t="s">
        <v>295</v>
      </c>
      <c r="H13" s="104">
        <f t="shared" si="4"/>
        <v>0</v>
      </c>
      <c r="I13" s="352">
        <v>0</v>
      </c>
      <c r="J13" s="104">
        <f t="shared" si="5"/>
        <v>0</v>
      </c>
      <c r="K13" s="66">
        <f>'StdVS Unterhaltsreinigung (UHR)'!$C$57</f>
        <v>0</v>
      </c>
      <c r="L13" s="105">
        <f t="shared" si="6"/>
        <v>0</v>
      </c>
      <c r="M13" s="105">
        <f t="shared" si="7"/>
        <v>0</v>
      </c>
      <c r="N13" s="110">
        <f t="shared" si="8"/>
        <v>0</v>
      </c>
      <c r="P13" s="10"/>
      <c r="Q13" s="10"/>
      <c r="R13" s="10"/>
      <c r="S13" s="10"/>
      <c r="T13" s="10"/>
    </row>
    <row r="14" spans="1:20" ht="12.75">
      <c r="A14" s="590" t="s">
        <v>399</v>
      </c>
      <c r="B14" s="401" t="s">
        <v>16</v>
      </c>
      <c r="C14" s="344" t="s">
        <v>407</v>
      </c>
      <c r="D14" s="344" t="s">
        <v>22</v>
      </c>
      <c r="E14" s="344" t="s">
        <v>22</v>
      </c>
      <c r="F14" s="347">
        <v>14.72</v>
      </c>
      <c r="G14" s="397" t="s">
        <v>295</v>
      </c>
      <c r="H14" s="104">
        <f t="shared" si="4"/>
        <v>0</v>
      </c>
      <c r="I14" s="352">
        <v>0</v>
      </c>
      <c r="J14" s="104">
        <f t="shared" si="5"/>
        <v>0</v>
      </c>
      <c r="K14" s="66">
        <f>'StdVS Unterhaltsreinigung (UHR)'!$C$57</f>
        <v>0</v>
      </c>
      <c r="L14" s="105">
        <f t="shared" si="6"/>
        <v>0</v>
      </c>
      <c r="M14" s="105">
        <f t="shared" si="7"/>
        <v>0</v>
      </c>
      <c r="N14" s="110">
        <f t="shared" si="8"/>
        <v>0</v>
      </c>
      <c r="P14" s="10"/>
      <c r="Q14" s="10"/>
      <c r="R14" s="10"/>
      <c r="S14" s="10"/>
      <c r="T14" s="10"/>
    </row>
    <row r="15" spans="1:20" ht="12.75">
      <c r="A15" s="590" t="s">
        <v>399</v>
      </c>
      <c r="B15" s="401" t="s">
        <v>16</v>
      </c>
      <c r="C15" s="344" t="s">
        <v>408</v>
      </c>
      <c r="D15" s="344" t="s">
        <v>22</v>
      </c>
      <c r="E15" s="344" t="s">
        <v>22</v>
      </c>
      <c r="F15" s="347">
        <v>14.95</v>
      </c>
      <c r="G15" s="397" t="s">
        <v>295</v>
      </c>
      <c r="H15" s="104">
        <f t="shared" si="4"/>
        <v>0</v>
      </c>
      <c r="I15" s="352">
        <v>0</v>
      </c>
      <c r="J15" s="104">
        <f t="shared" si="5"/>
        <v>0</v>
      </c>
      <c r="K15" s="66">
        <f>'StdVS Unterhaltsreinigung (UHR)'!$C$57</f>
        <v>0</v>
      </c>
      <c r="L15" s="105">
        <f t="shared" si="6"/>
        <v>0</v>
      </c>
      <c r="M15" s="105">
        <f t="shared" si="7"/>
        <v>0</v>
      </c>
      <c r="N15" s="110">
        <f t="shared" si="8"/>
        <v>0</v>
      </c>
      <c r="P15" s="10"/>
      <c r="Q15" s="10"/>
      <c r="R15" s="10"/>
      <c r="S15" s="10"/>
      <c r="T15" s="10"/>
    </row>
    <row r="16" spans="1:20" ht="12.75">
      <c r="A16" s="590" t="s">
        <v>400</v>
      </c>
      <c r="B16" s="401" t="s">
        <v>16</v>
      </c>
      <c r="C16" s="344" t="s">
        <v>409</v>
      </c>
      <c r="D16" s="344" t="s">
        <v>22</v>
      </c>
      <c r="E16" s="344" t="s">
        <v>22</v>
      </c>
      <c r="F16" s="347">
        <v>15.07</v>
      </c>
      <c r="G16" s="65" t="str">
        <f>VLOOKUP(A16,'Matrix Feuerwache'!$A$2:$C$7,3,1)</f>
        <v>1 x m</v>
      </c>
      <c r="H16" s="104">
        <f t="shared" si="4"/>
        <v>15.07</v>
      </c>
      <c r="I16" s="352">
        <f>VLOOKUP(A16,'Matrix Feuerwache'!$A$2:$C$7,2,1)</f>
        <v>0</v>
      </c>
      <c r="J16" s="104">
        <f t="shared" si="5"/>
        <v>0</v>
      </c>
      <c r="K16" s="66">
        <f>'StdVS Unterhaltsreinigung (UHR)'!$C$57</f>
        <v>0</v>
      </c>
      <c r="L16" s="105">
        <f t="shared" si="6"/>
        <v>0</v>
      </c>
      <c r="M16" s="105">
        <f t="shared" si="7"/>
        <v>0</v>
      </c>
      <c r="N16" s="110">
        <f t="shared" si="8"/>
        <v>0</v>
      </c>
      <c r="P16" s="10"/>
      <c r="Q16" s="10"/>
      <c r="R16" s="10"/>
      <c r="S16" s="10"/>
      <c r="T16" s="10"/>
    </row>
    <row r="17" spans="1:20" ht="12.75">
      <c r="A17" s="590" t="s">
        <v>35</v>
      </c>
      <c r="B17" s="401" t="s">
        <v>16</v>
      </c>
      <c r="C17" s="344" t="s">
        <v>184</v>
      </c>
      <c r="D17" s="344" t="s">
        <v>22</v>
      </c>
      <c r="E17" s="344" t="s">
        <v>22</v>
      </c>
      <c r="F17" s="347">
        <v>23.33</v>
      </c>
      <c r="G17" s="65" t="str">
        <f>VLOOKUP(A17,'Matrix Feuerwache'!$A$2:$C$7,3,1)</f>
        <v>1 x m</v>
      </c>
      <c r="H17" s="104">
        <f t="shared" si="4"/>
        <v>23.33</v>
      </c>
      <c r="I17" s="352">
        <f>VLOOKUP(A17,'Matrix Feuerwache'!$A$2:$C$7,2,1)</f>
        <v>0</v>
      </c>
      <c r="J17" s="104">
        <f t="shared" si="0"/>
        <v>0</v>
      </c>
      <c r="K17" s="66">
        <f>'StdVS Unterhaltsreinigung (UHR)'!$C$57</f>
        <v>0</v>
      </c>
      <c r="L17" s="105">
        <f t="shared" si="1"/>
        <v>0</v>
      </c>
      <c r="M17" s="105">
        <f t="shared" si="2"/>
        <v>0</v>
      </c>
      <c r="N17" s="110">
        <f t="shared" si="3"/>
        <v>0</v>
      </c>
      <c r="P17" s="10"/>
      <c r="Q17" s="10"/>
      <c r="R17" s="10"/>
      <c r="S17" s="10"/>
      <c r="T17" s="10"/>
    </row>
    <row r="18" spans="1:20" ht="12.75">
      <c r="A18" s="593" t="s">
        <v>426</v>
      </c>
      <c r="B18" s="401" t="s">
        <v>16</v>
      </c>
      <c r="C18" s="344" t="s">
        <v>410</v>
      </c>
      <c r="D18" s="344" t="s">
        <v>22</v>
      </c>
      <c r="E18" s="344" t="s">
        <v>22</v>
      </c>
      <c r="F18" s="347">
        <v>6.97</v>
      </c>
      <c r="G18" s="65" t="str">
        <f>VLOOKUP(A18,'Matrix Feuerwache'!$A$2:$C$7,3,1)</f>
        <v>1 x m</v>
      </c>
      <c r="H18" s="104">
        <f t="shared" si="4"/>
        <v>6.97</v>
      </c>
      <c r="I18" s="352">
        <f>VLOOKUP(A18,'Matrix Feuerwache'!$A$2:$C$7,2,1)</f>
        <v>0</v>
      </c>
      <c r="J18" s="104">
        <f t="shared" si="0"/>
        <v>0</v>
      </c>
      <c r="K18" s="66">
        <f>'StdVS Unterhaltsreinigung (UHR)'!$C$57</f>
        <v>0</v>
      </c>
      <c r="L18" s="105">
        <f t="shared" si="1"/>
        <v>0</v>
      </c>
      <c r="M18" s="105">
        <f t="shared" si="2"/>
        <v>0</v>
      </c>
      <c r="N18" s="110">
        <f t="shared" si="3"/>
        <v>0</v>
      </c>
      <c r="P18" s="10"/>
      <c r="Q18" s="10"/>
      <c r="R18" s="10"/>
      <c r="S18" s="10"/>
      <c r="T18" s="10"/>
    </row>
    <row r="19" spans="1:20" ht="12.75">
      <c r="A19" s="590" t="s">
        <v>399</v>
      </c>
      <c r="B19" s="401" t="s">
        <v>16</v>
      </c>
      <c r="C19" s="345" t="s">
        <v>411</v>
      </c>
      <c r="D19" s="344" t="s">
        <v>22</v>
      </c>
      <c r="E19" s="344" t="s">
        <v>22</v>
      </c>
      <c r="F19" s="347">
        <v>4.29</v>
      </c>
      <c r="G19" s="397" t="s">
        <v>295</v>
      </c>
      <c r="H19" s="104">
        <f t="shared" si="4"/>
        <v>0</v>
      </c>
      <c r="I19" s="352">
        <v>0</v>
      </c>
      <c r="J19" s="104">
        <f t="shared" si="0"/>
        <v>0</v>
      </c>
      <c r="K19" s="66">
        <f>'StdVS Unterhaltsreinigung (UHR)'!$C$57</f>
        <v>0</v>
      </c>
      <c r="L19" s="105">
        <f t="shared" si="1"/>
        <v>0</v>
      </c>
      <c r="M19" s="105">
        <f t="shared" si="2"/>
        <v>0</v>
      </c>
      <c r="N19" s="110">
        <f t="shared" si="3"/>
        <v>0</v>
      </c>
      <c r="P19" s="10"/>
      <c r="Q19" s="10"/>
      <c r="R19" s="10"/>
      <c r="S19" s="10"/>
      <c r="T19" s="10"/>
    </row>
    <row r="20" spans="1:20" ht="12.75">
      <c r="A20" s="590" t="s">
        <v>46</v>
      </c>
      <c r="B20" s="401" t="s">
        <v>16</v>
      </c>
      <c r="C20" s="344" t="s">
        <v>412</v>
      </c>
      <c r="D20" s="344" t="s">
        <v>22</v>
      </c>
      <c r="E20" s="344" t="s">
        <v>22</v>
      </c>
      <c r="F20" s="347">
        <v>2.25</v>
      </c>
      <c r="G20" s="65" t="str">
        <f>VLOOKUP(A20,'Matrix Feuerwache'!$A$2:$C$7,3,1)</f>
        <v>1 x m</v>
      </c>
      <c r="H20" s="104">
        <f t="shared" si="4"/>
        <v>2.25</v>
      </c>
      <c r="I20" s="352">
        <v>0</v>
      </c>
      <c r="J20" s="104">
        <f t="shared" si="0"/>
        <v>0</v>
      </c>
      <c r="K20" s="66">
        <f>'StdVS Unterhaltsreinigung (UHR)'!$C$57</f>
        <v>0</v>
      </c>
      <c r="L20" s="105">
        <f t="shared" si="1"/>
        <v>0</v>
      </c>
      <c r="M20" s="105">
        <f t="shared" si="2"/>
        <v>0</v>
      </c>
      <c r="N20" s="110">
        <f t="shared" si="3"/>
        <v>0</v>
      </c>
      <c r="P20" s="10"/>
      <c r="Q20" s="10"/>
      <c r="R20" s="10"/>
      <c r="S20" s="10"/>
      <c r="T20" s="10"/>
    </row>
    <row r="21" spans="1:20" ht="12.75">
      <c r="A21" s="590" t="s">
        <v>426</v>
      </c>
      <c r="B21" s="401" t="s">
        <v>16</v>
      </c>
      <c r="C21" s="344" t="s">
        <v>253</v>
      </c>
      <c r="D21" s="344" t="s">
        <v>22</v>
      </c>
      <c r="E21" s="344" t="s">
        <v>22</v>
      </c>
      <c r="F21" s="347">
        <v>4.61</v>
      </c>
      <c r="G21" s="65" t="str">
        <f>VLOOKUP(A21,'Matrix Feuerwache'!$A$2:$C$7,3,1)</f>
        <v>1 x m</v>
      </c>
      <c r="H21" s="104">
        <f t="shared" si="4"/>
        <v>4.61</v>
      </c>
      <c r="I21" s="352">
        <f>VLOOKUP(A21,'Matrix Feuerwache'!$A$2:$C$7,2,1)</f>
        <v>0</v>
      </c>
      <c r="J21" s="104">
        <f t="shared" si="0"/>
        <v>0</v>
      </c>
      <c r="K21" s="66">
        <f>'StdVS Unterhaltsreinigung (UHR)'!$C$57</f>
        <v>0</v>
      </c>
      <c r="L21" s="105">
        <f t="shared" si="1"/>
        <v>0</v>
      </c>
      <c r="M21" s="105">
        <f t="shared" si="2"/>
        <v>0</v>
      </c>
      <c r="N21" s="110">
        <f t="shared" si="3"/>
        <v>0</v>
      </c>
      <c r="P21" s="10"/>
      <c r="Q21" s="10"/>
      <c r="R21" s="10"/>
      <c r="S21" s="10"/>
      <c r="T21" s="10"/>
    </row>
    <row r="22" spans="1:20" ht="12.75">
      <c r="A22" s="590" t="s">
        <v>400</v>
      </c>
      <c r="B22" s="401" t="s">
        <v>416</v>
      </c>
      <c r="C22" s="344" t="s">
        <v>413</v>
      </c>
      <c r="D22" s="391"/>
      <c r="E22" s="344" t="s">
        <v>22</v>
      </c>
      <c r="F22" s="347">
        <v>12.03</v>
      </c>
      <c r="G22" s="397" t="s">
        <v>295</v>
      </c>
      <c r="H22" s="104">
        <f t="shared" si="4"/>
        <v>0</v>
      </c>
      <c r="I22" s="352">
        <v>0</v>
      </c>
      <c r="J22" s="104">
        <f t="shared" si="0"/>
        <v>0</v>
      </c>
      <c r="K22" s="66">
        <f>'StdVS Unterhaltsreinigung (UHR)'!$C$57</f>
        <v>0</v>
      </c>
      <c r="L22" s="105">
        <f t="shared" si="1"/>
        <v>0</v>
      </c>
      <c r="M22" s="105">
        <f t="shared" si="2"/>
        <v>0</v>
      </c>
      <c r="N22" s="110">
        <f t="shared" si="3"/>
        <v>0</v>
      </c>
      <c r="P22" s="10"/>
      <c r="Q22" s="10"/>
      <c r="R22" s="10"/>
      <c r="S22" s="10"/>
      <c r="T22" s="10"/>
    </row>
    <row r="23" spans="1:20" ht="12.75">
      <c r="A23" s="593" t="s">
        <v>426</v>
      </c>
      <c r="B23" s="401" t="s">
        <v>416</v>
      </c>
      <c r="C23" s="344" t="s">
        <v>414</v>
      </c>
      <c r="D23" s="391"/>
      <c r="E23" s="344" t="s">
        <v>22</v>
      </c>
      <c r="F23" s="347">
        <v>8.15</v>
      </c>
      <c r="G23" s="65" t="str">
        <f>VLOOKUP(A23,'Matrix Feuerwache'!$A$2:$C$7,3,1)</f>
        <v>1 x m</v>
      </c>
      <c r="H23" s="104">
        <f t="shared" si="4"/>
        <v>8.15</v>
      </c>
      <c r="I23" s="352">
        <f>VLOOKUP(A23,'Matrix Feuerwache'!$A$2:$C$7,2,1)</f>
        <v>0</v>
      </c>
      <c r="J23" s="104">
        <f t="shared" si="0"/>
        <v>0</v>
      </c>
      <c r="K23" s="66">
        <f>'StdVS Unterhaltsreinigung (UHR)'!$C$57</f>
        <v>0</v>
      </c>
      <c r="L23" s="105">
        <f t="shared" si="1"/>
        <v>0</v>
      </c>
      <c r="M23" s="105">
        <f t="shared" si="2"/>
        <v>0</v>
      </c>
      <c r="N23" s="110">
        <f t="shared" si="3"/>
        <v>0</v>
      </c>
      <c r="P23" s="10"/>
      <c r="Q23" s="10"/>
      <c r="R23" s="10"/>
      <c r="S23" s="10"/>
      <c r="T23" s="10"/>
    </row>
    <row r="24" spans="1:20" ht="12.75">
      <c r="A24" s="590" t="s">
        <v>38</v>
      </c>
      <c r="B24" s="401" t="s">
        <v>416</v>
      </c>
      <c r="C24" s="344" t="s">
        <v>52</v>
      </c>
      <c r="D24" s="391"/>
      <c r="E24" s="344" t="s">
        <v>22</v>
      </c>
      <c r="F24" s="347">
        <v>10.23</v>
      </c>
      <c r="G24" s="65" t="str">
        <f>VLOOKUP(A24,'Matrix Feuerwache'!$A$2:$C$7,3,1)</f>
        <v>1 x m</v>
      </c>
      <c r="H24" s="104">
        <f t="shared" si="4"/>
        <v>10.23</v>
      </c>
      <c r="I24" s="352">
        <f>VLOOKUP(A24,'Matrix Feuerwache'!$A$2:$C$7,2,1)</f>
        <v>0</v>
      </c>
      <c r="J24" s="104">
        <f t="shared" si="0"/>
        <v>0</v>
      </c>
      <c r="K24" s="66">
        <f>'StdVS Unterhaltsreinigung (UHR)'!$C$57</f>
        <v>0</v>
      </c>
      <c r="L24" s="105">
        <f t="shared" si="1"/>
        <v>0</v>
      </c>
      <c r="M24" s="105">
        <f t="shared" si="2"/>
        <v>0</v>
      </c>
      <c r="N24" s="110">
        <f t="shared" si="3"/>
        <v>0</v>
      </c>
      <c r="P24" s="10"/>
      <c r="Q24" s="10"/>
      <c r="R24" s="10"/>
      <c r="S24" s="10"/>
      <c r="T24" s="10"/>
    </row>
    <row r="25" spans="1:20" ht="12.75">
      <c r="A25" s="590" t="s">
        <v>38</v>
      </c>
      <c r="B25" s="401" t="s">
        <v>416</v>
      </c>
      <c r="C25" s="344" t="s">
        <v>53</v>
      </c>
      <c r="D25" s="391"/>
      <c r="E25" s="344" t="s">
        <v>22</v>
      </c>
      <c r="F25" s="347">
        <v>10.13</v>
      </c>
      <c r="G25" s="65" t="str">
        <f>VLOOKUP(A25,'Matrix Feuerwache'!$A$2:$C$7,3,1)</f>
        <v>1 x m</v>
      </c>
      <c r="H25" s="104">
        <f t="shared" si="4"/>
        <v>10.13</v>
      </c>
      <c r="I25" s="352">
        <f>VLOOKUP(A25,'Matrix Feuerwache'!$A$2:$C$7,2,1)</f>
        <v>0</v>
      </c>
      <c r="J25" s="104">
        <f t="shared" si="0"/>
        <v>0</v>
      </c>
      <c r="K25" s="66">
        <f>'StdVS Unterhaltsreinigung (UHR)'!$C$57</f>
        <v>0</v>
      </c>
      <c r="L25" s="105">
        <f t="shared" si="1"/>
        <v>0</v>
      </c>
      <c r="M25" s="105">
        <f t="shared" si="2"/>
        <v>0</v>
      </c>
      <c r="N25" s="110">
        <f t="shared" si="3"/>
        <v>0</v>
      </c>
      <c r="P25" s="10"/>
      <c r="Q25" s="10"/>
      <c r="R25" s="10"/>
      <c r="S25" s="10"/>
      <c r="T25" s="10"/>
    </row>
    <row r="26" spans="1:20" ht="12.75">
      <c r="A26" s="590" t="s">
        <v>38</v>
      </c>
      <c r="B26" s="401" t="s">
        <v>416</v>
      </c>
      <c r="C26" s="344" t="s">
        <v>224</v>
      </c>
      <c r="D26" s="391"/>
      <c r="E26" s="344" t="s">
        <v>22</v>
      </c>
      <c r="F26" s="347">
        <v>7.58</v>
      </c>
      <c r="G26" s="65" t="str">
        <f>VLOOKUP(A26,'Matrix Feuerwache'!$A$2:$C$7,3,1)</f>
        <v>1 x m</v>
      </c>
      <c r="H26" s="104">
        <f t="shared" si="4"/>
        <v>7.58</v>
      </c>
      <c r="I26" s="352">
        <f>VLOOKUP(A26,'Matrix Feuerwache'!$A$2:$C$7,2,1)</f>
        <v>0</v>
      </c>
      <c r="J26" s="104">
        <f t="shared" si="0"/>
        <v>0</v>
      </c>
      <c r="K26" s="66">
        <f>'StdVS Unterhaltsreinigung (UHR)'!$C$57</f>
        <v>0</v>
      </c>
      <c r="L26" s="105">
        <f t="shared" si="1"/>
        <v>0</v>
      </c>
      <c r="M26" s="105">
        <f t="shared" si="2"/>
        <v>0</v>
      </c>
      <c r="N26" s="110">
        <f t="shared" si="3"/>
        <v>0</v>
      </c>
      <c r="P26" s="10"/>
      <c r="Q26" s="10"/>
      <c r="R26" s="10"/>
      <c r="S26" s="10"/>
      <c r="T26" s="10"/>
    </row>
    <row r="27" spans="1:20" ht="12.75">
      <c r="A27" s="590" t="s">
        <v>35</v>
      </c>
      <c r="B27" s="401" t="s">
        <v>416</v>
      </c>
      <c r="C27" s="344" t="s">
        <v>415</v>
      </c>
      <c r="D27" s="391"/>
      <c r="E27" s="344" t="s">
        <v>22</v>
      </c>
      <c r="F27" s="347">
        <v>17.49</v>
      </c>
      <c r="G27" s="65" t="str">
        <f>VLOOKUP(A27,'Matrix Feuerwache'!$A$2:$C$7,3,1)</f>
        <v>1 x m</v>
      </c>
      <c r="H27" s="104">
        <f t="shared" si="4"/>
        <v>17.49</v>
      </c>
      <c r="I27" s="352">
        <f>VLOOKUP(A27,'Matrix Feuerwache'!$A$2:$C$7,2,1)</f>
        <v>0</v>
      </c>
      <c r="J27" s="104">
        <f aca="true" t="shared" si="9" ref="J27:J34">IF(I27&gt;0,SUM(H27/I27),0)</f>
        <v>0</v>
      </c>
      <c r="K27" s="66">
        <f>'StdVS Unterhaltsreinigung (UHR)'!$C$57</f>
        <v>0</v>
      </c>
      <c r="L27" s="105">
        <f aca="true" t="shared" si="10" ref="L27:L34">SUM(J27*K27)</f>
        <v>0</v>
      </c>
      <c r="M27" s="105">
        <f aca="true" t="shared" si="11" ref="M27:M34">L27*12</f>
        <v>0</v>
      </c>
      <c r="N27" s="110">
        <f aca="true" t="shared" si="12" ref="N27:N34">IF(H27&gt;0,L27/H27,0)</f>
        <v>0</v>
      </c>
      <c r="P27" s="10"/>
      <c r="Q27" s="10"/>
      <c r="R27" s="10"/>
      <c r="S27" s="10"/>
      <c r="T27" s="10"/>
    </row>
    <row r="28" spans="1:20" ht="12.75">
      <c r="A28" s="593" t="s">
        <v>426</v>
      </c>
      <c r="B28" s="401" t="s">
        <v>416</v>
      </c>
      <c r="C28" s="344" t="s">
        <v>410</v>
      </c>
      <c r="D28" s="391"/>
      <c r="E28" s="344" t="s">
        <v>22</v>
      </c>
      <c r="F28" s="347">
        <v>10.6</v>
      </c>
      <c r="G28" s="65" t="str">
        <f>VLOOKUP(A28,'Matrix Feuerwache'!$A$2:$C$7,3,1)</f>
        <v>1 x m</v>
      </c>
      <c r="H28" s="104">
        <f t="shared" si="4"/>
        <v>10.6</v>
      </c>
      <c r="I28" s="352">
        <f>VLOOKUP(A28,'Matrix Feuerwache'!$A$2:$C$7,2,1)</f>
        <v>0</v>
      </c>
      <c r="J28" s="104">
        <f t="shared" si="9"/>
        <v>0</v>
      </c>
      <c r="K28" s="66">
        <f>'StdVS Unterhaltsreinigung (UHR)'!$C$57</f>
        <v>0</v>
      </c>
      <c r="L28" s="105">
        <f t="shared" si="10"/>
        <v>0</v>
      </c>
      <c r="M28" s="105">
        <f t="shared" si="11"/>
        <v>0</v>
      </c>
      <c r="N28" s="110">
        <f t="shared" si="12"/>
        <v>0</v>
      </c>
      <c r="P28" s="10"/>
      <c r="Q28" s="10"/>
      <c r="R28" s="10"/>
      <c r="S28" s="10"/>
      <c r="T28" s="10"/>
    </row>
    <row r="29" spans="1:20" ht="12.75">
      <c r="A29" s="590" t="s">
        <v>400</v>
      </c>
      <c r="B29" s="401" t="s">
        <v>288</v>
      </c>
      <c r="C29" s="344" t="s">
        <v>417</v>
      </c>
      <c r="D29" s="391"/>
      <c r="E29" s="344" t="s">
        <v>22</v>
      </c>
      <c r="F29" s="347">
        <v>125</v>
      </c>
      <c r="G29" s="65" t="str">
        <f>VLOOKUP(A29,'Matrix Feuerwache'!$A$2:$C$7,3,1)</f>
        <v>1 x m</v>
      </c>
      <c r="H29" s="104">
        <f t="shared" si="4"/>
        <v>125</v>
      </c>
      <c r="I29" s="352">
        <f>VLOOKUP(A29,'Matrix Feuerwache'!$A$2:$C$7,2,1)</f>
        <v>0</v>
      </c>
      <c r="J29" s="104">
        <f t="shared" si="9"/>
        <v>0</v>
      </c>
      <c r="K29" s="66">
        <f>'StdVS Unterhaltsreinigung (UHR)'!$C$57</f>
        <v>0</v>
      </c>
      <c r="L29" s="105">
        <f t="shared" si="10"/>
        <v>0</v>
      </c>
      <c r="M29" s="105">
        <f t="shared" si="11"/>
        <v>0</v>
      </c>
      <c r="N29" s="110">
        <f t="shared" si="12"/>
        <v>0</v>
      </c>
      <c r="P29" s="10"/>
      <c r="Q29" s="10"/>
      <c r="R29" s="10"/>
      <c r="S29" s="10"/>
      <c r="T29" s="10"/>
    </row>
    <row r="30" spans="1:20" ht="12.75">
      <c r="A30" s="590" t="s">
        <v>400</v>
      </c>
      <c r="B30" s="401" t="s">
        <v>288</v>
      </c>
      <c r="C30" s="344" t="s">
        <v>418</v>
      </c>
      <c r="D30" s="391"/>
      <c r="E30" s="344" t="s">
        <v>22</v>
      </c>
      <c r="F30" s="347">
        <v>25.41</v>
      </c>
      <c r="G30" s="65" t="str">
        <f>VLOOKUP(A30,'Matrix Feuerwache'!$A$2:$C$7,3,1)</f>
        <v>1 x m</v>
      </c>
      <c r="H30" s="104">
        <f t="shared" si="4"/>
        <v>25.41</v>
      </c>
      <c r="I30" s="352">
        <f>VLOOKUP(A30,'Matrix Feuerwache'!$A$2:$C$7,2,1)</f>
        <v>0</v>
      </c>
      <c r="J30" s="104">
        <f t="shared" si="9"/>
        <v>0</v>
      </c>
      <c r="K30" s="66">
        <f>'StdVS Unterhaltsreinigung (UHR)'!$C$57</f>
        <v>0</v>
      </c>
      <c r="L30" s="105">
        <f t="shared" si="10"/>
        <v>0</v>
      </c>
      <c r="M30" s="105">
        <f t="shared" si="11"/>
        <v>0</v>
      </c>
      <c r="N30" s="110">
        <f t="shared" si="12"/>
        <v>0</v>
      </c>
      <c r="P30" s="10"/>
      <c r="Q30" s="10"/>
      <c r="R30" s="10"/>
      <c r="S30" s="10"/>
      <c r="T30" s="10"/>
    </row>
    <row r="31" spans="1:20" ht="26.25">
      <c r="A31" s="590" t="s">
        <v>70</v>
      </c>
      <c r="B31" s="401" t="s">
        <v>288</v>
      </c>
      <c r="C31" s="344" t="s">
        <v>273</v>
      </c>
      <c r="D31" s="391"/>
      <c r="E31" s="344" t="s">
        <v>22</v>
      </c>
      <c r="F31" s="347">
        <v>15.35</v>
      </c>
      <c r="G31" s="65" t="str">
        <f>VLOOKUP(A31,'Matrix Feuerwache'!$A$2:$C$7,3,1)</f>
        <v>1 x m</v>
      </c>
      <c r="H31" s="104">
        <f t="shared" si="4"/>
        <v>15.35</v>
      </c>
      <c r="I31" s="352">
        <f>VLOOKUP(A31,'Matrix Feuerwache'!$A$2:$C$7,2,1)</f>
        <v>0</v>
      </c>
      <c r="J31" s="104">
        <f t="shared" si="9"/>
        <v>0</v>
      </c>
      <c r="K31" s="66">
        <f>'StdVS Unterhaltsreinigung (UHR)'!$C$57</f>
        <v>0</v>
      </c>
      <c r="L31" s="105">
        <f t="shared" si="10"/>
        <v>0</v>
      </c>
      <c r="M31" s="105">
        <f t="shared" si="11"/>
        <v>0</v>
      </c>
      <c r="N31" s="110">
        <f t="shared" si="12"/>
        <v>0</v>
      </c>
      <c r="P31" s="10"/>
      <c r="Q31" s="10"/>
      <c r="R31" s="10"/>
      <c r="S31" s="10"/>
      <c r="T31" s="10"/>
    </row>
    <row r="32" spans="1:20" ht="12.75">
      <c r="A32" s="590" t="s">
        <v>399</v>
      </c>
      <c r="B32" s="401" t="s">
        <v>288</v>
      </c>
      <c r="C32" s="344" t="s">
        <v>185</v>
      </c>
      <c r="D32" s="391"/>
      <c r="E32" s="344" t="s">
        <v>22</v>
      </c>
      <c r="F32" s="347">
        <v>7.58</v>
      </c>
      <c r="G32" s="397" t="s">
        <v>295</v>
      </c>
      <c r="H32" s="104">
        <f t="shared" si="4"/>
        <v>0</v>
      </c>
      <c r="I32" s="352">
        <v>0</v>
      </c>
      <c r="J32" s="104">
        <f t="shared" si="9"/>
        <v>0</v>
      </c>
      <c r="K32" s="66">
        <f>'StdVS Unterhaltsreinigung (UHR)'!$C$57</f>
        <v>0</v>
      </c>
      <c r="L32" s="105">
        <f t="shared" si="10"/>
        <v>0</v>
      </c>
      <c r="M32" s="105">
        <f t="shared" si="11"/>
        <v>0</v>
      </c>
      <c r="N32" s="110">
        <f t="shared" si="12"/>
        <v>0</v>
      </c>
      <c r="P32" s="10"/>
      <c r="Q32" s="10"/>
      <c r="R32" s="10"/>
      <c r="S32" s="10"/>
      <c r="T32" s="10"/>
    </row>
    <row r="33" spans="1:20" ht="12.75">
      <c r="A33" s="590" t="s">
        <v>399</v>
      </c>
      <c r="B33" s="401" t="s">
        <v>288</v>
      </c>
      <c r="C33" s="435" t="s">
        <v>419</v>
      </c>
      <c r="D33" s="391"/>
      <c r="E33" s="344" t="s">
        <v>22</v>
      </c>
      <c r="F33" s="347">
        <v>3.06</v>
      </c>
      <c r="G33" s="397" t="s">
        <v>295</v>
      </c>
      <c r="H33" s="104">
        <f t="shared" si="4"/>
        <v>0</v>
      </c>
      <c r="I33" s="352">
        <v>0</v>
      </c>
      <c r="J33" s="104">
        <f t="shared" si="9"/>
        <v>0</v>
      </c>
      <c r="K33" s="66">
        <f>'StdVS Unterhaltsreinigung (UHR)'!$C$57</f>
        <v>0</v>
      </c>
      <c r="L33" s="105">
        <f t="shared" si="10"/>
        <v>0</v>
      </c>
      <c r="M33" s="105">
        <f t="shared" si="11"/>
        <v>0</v>
      </c>
      <c r="N33" s="110">
        <f t="shared" si="12"/>
        <v>0</v>
      </c>
      <c r="P33" s="10"/>
      <c r="Q33" s="10"/>
      <c r="R33" s="10"/>
      <c r="S33" s="10"/>
      <c r="T33" s="10"/>
    </row>
    <row r="34" spans="1:20" ht="12.75">
      <c r="A34" s="590" t="s">
        <v>426</v>
      </c>
      <c r="B34" s="401" t="s">
        <v>288</v>
      </c>
      <c r="C34" s="344" t="s">
        <v>420</v>
      </c>
      <c r="D34" s="391"/>
      <c r="E34" s="344" t="s">
        <v>22</v>
      </c>
      <c r="F34" s="347">
        <v>9.02</v>
      </c>
      <c r="G34" s="65" t="str">
        <f>VLOOKUP(A34,'Matrix Feuerwache'!$A$2:$C$7,3,1)</f>
        <v>1 x m</v>
      </c>
      <c r="H34" s="104">
        <f t="shared" si="4"/>
        <v>9.02</v>
      </c>
      <c r="I34" s="352">
        <f>VLOOKUP(A34,'Matrix Feuerwache'!$A$2:$C$7,2,1)</f>
        <v>0</v>
      </c>
      <c r="J34" s="104">
        <f t="shared" si="9"/>
        <v>0</v>
      </c>
      <c r="K34" s="66">
        <f>'StdVS Unterhaltsreinigung (UHR)'!$C$57</f>
        <v>0</v>
      </c>
      <c r="L34" s="105">
        <f t="shared" si="10"/>
        <v>0</v>
      </c>
      <c r="M34" s="105">
        <f t="shared" si="11"/>
        <v>0</v>
      </c>
      <c r="N34" s="110">
        <f t="shared" si="12"/>
        <v>0</v>
      </c>
      <c r="P34" s="10"/>
      <c r="Q34" s="10"/>
      <c r="R34" s="10"/>
      <c r="S34" s="10"/>
      <c r="T34" s="10"/>
    </row>
    <row r="35" spans="1:20" ht="12.75">
      <c r="A35" s="590" t="s">
        <v>425</v>
      </c>
      <c r="B35" s="401" t="s">
        <v>277</v>
      </c>
      <c r="C35" s="435" t="s">
        <v>421</v>
      </c>
      <c r="D35" s="391"/>
      <c r="E35" s="344" t="s">
        <v>22</v>
      </c>
      <c r="F35" s="347">
        <v>60.66</v>
      </c>
      <c r="G35" s="397" t="s">
        <v>295</v>
      </c>
      <c r="H35" s="104">
        <f t="shared" si="4"/>
        <v>0</v>
      </c>
      <c r="I35" s="352">
        <v>0</v>
      </c>
      <c r="J35" s="104">
        <f>IF(I35&gt;0,SUM(H35/I35),0)</f>
        <v>0</v>
      </c>
      <c r="K35" s="66">
        <f>'StdVS Unterhaltsreinigung (UHR)'!$C$57</f>
        <v>0</v>
      </c>
      <c r="L35" s="105">
        <f>SUM(J35*K35)</f>
        <v>0</v>
      </c>
      <c r="M35" s="105">
        <f>L35*12</f>
        <v>0</v>
      </c>
      <c r="N35" s="110">
        <f>IF(H35&gt;0,L35/H35,0)</f>
        <v>0</v>
      </c>
      <c r="P35" s="10"/>
      <c r="Q35" s="10"/>
      <c r="R35" s="10"/>
      <c r="S35" s="10"/>
      <c r="T35" s="10"/>
    </row>
    <row r="36" spans="1:20" ht="12.75">
      <c r="A36" s="590" t="s">
        <v>425</v>
      </c>
      <c r="B36" s="401" t="s">
        <v>277</v>
      </c>
      <c r="C36" s="435" t="s">
        <v>422</v>
      </c>
      <c r="D36" s="391"/>
      <c r="E36" s="344" t="s">
        <v>22</v>
      </c>
      <c r="F36" s="347">
        <v>10.94</v>
      </c>
      <c r="G36" s="397" t="s">
        <v>295</v>
      </c>
      <c r="H36" s="104">
        <f t="shared" si="4"/>
        <v>0</v>
      </c>
      <c r="I36" s="352">
        <v>0</v>
      </c>
      <c r="J36" s="104">
        <f>IF(I36&gt;0,SUM(H36/I36),0)</f>
        <v>0</v>
      </c>
      <c r="K36" s="66">
        <f>'StdVS Unterhaltsreinigung (UHR)'!$C$57</f>
        <v>0</v>
      </c>
      <c r="L36" s="105">
        <f>SUM(J36*K36)</f>
        <v>0</v>
      </c>
      <c r="M36" s="105">
        <f>L36*12</f>
        <v>0</v>
      </c>
      <c r="N36" s="110">
        <f>IF(H36&gt;0,L36/H36,0)</f>
        <v>0</v>
      </c>
      <c r="P36" s="10"/>
      <c r="Q36" s="10"/>
      <c r="R36" s="10"/>
      <c r="S36" s="10"/>
      <c r="T36" s="10"/>
    </row>
    <row r="37" spans="1:20" ht="12.75">
      <c r="A37" s="590" t="s">
        <v>425</v>
      </c>
      <c r="B37" s="401" t="s">
        <v>277</v>
      </c>
      <c r="C37" s="435" t="s">
        <v>423</v>
      </c>
      <c r="D37" s="391"/>
      <c r="E37" s="344" t="s">
        <v>22</v>
      </c>
      <c r="F37" s="347">
        <v>6.96</v>
      </c>
      <c r="G37" s="397" t="s">
        <v>295</v>
      </c>
      <c r="H37" s="104">
        <f t="shared" si="4"/>
        <v>0</v>
      </c>
      <c r="I37" s="352">
        <v>0</v>
      </c>
      <c r="J37" s="104">
        <f>IF(I37&gt;0,SUM(H37/I37),0)</f>
        <v>0</v>
      </c>
      <c r="K37" s="66">
        <f>'StdVS Unterhaltsreinigung (UHR)'!$C$57</f>
        <v>0</v>
      </c>
      <c r="L37" s="105">
        <f>SUM(J37*K37)</f>
        <v>0</v>
      </c>
      <c r="M37" s="105">
        <f>L37*12</f>
        <v>0</v>
      </c>
      <c r="N37" s="110">
        <f>IF(H37&gt;0,L37/H37,0)</f>
        <v>0</v>
      </c>
      <c r="P37" s="10"/>
      <c r="Q37" s="10"/>
      <c r="R37" s="10"/>
      <c r="S37" s="10"/>
      <c r="T37" s="10"/>
    </row>
    <row r="38" spans="1:20" ht="13.5" thickBot="1">
      <c r="A38" s="591" t="s">
        <v>35</v>
      </c>
      <c r="B38" s="594" t="s">
        <v>277</v>
      </c>
      <c r="C38" s="558" t="s">
        <v>415</v>
      </c>
      <c r="D38" s="595"/>
      <c r="E38" s="558" t="s">
        <v>22</v>
      </c>
      <c r="F38" s="349">
        <v>23.73</v>
      </c>
      <c r="G38" s="89" t="str">
        <f>VLOOKUP(A38,'Matrix Feuerwache'!$A$2:$C$7,3,1)</f>
        <v>1 x m</v>
      </c>
      <c r="H38" s="111">
        <f t="shared" si="4"/>
        <v>23.73</v>
      </c>
      <c r="I38" s="565">
        <f>VLOOKUP(A38,'Matrix Feuerwache'!$A$2:$C$7,2,1)</f>
        <v>0</v>
      </c>
      <c r="J38" s="111">
        <f>IF(I38&gt;0,SUM(H38/I38),0)</f>
        <v>0</v>
      </c>
      <c r="K38" s="557">
        <f>'StdVS Unterhaltsreinigung (UHR)'!$C$57</f>
        <v>0</v>
      </c>
      <c r="L38" s="112">
        <f>SUM(J38*K38)</f>
        <v>0</v>
      </c>
      <c r="M38" s="112">
        <f>L38*12</f>
        <v>0</v>
      </c>
      <c r="N38" s="113">
        <f>IF(H38&gt;0,L38/H38,0)</f>
        <v>0</v>
      </c>
      <c r="P38" s="10"/>
      <c r="Q38" s="10"/>
      <c r="R38" s="10"/>
      <c r="S38" s="10"/>
      <c r="T38" s="10"/>
    </row>
    <row r="39" spans="1:20" ht="13.5" thickBot="1">
      <c r="A39" s="99" t="s">
        <v>48</v>
      </c>
      <c r="B39" s="37"/>
      <c r="C39" s="35"/>
      <c r="D39" s="79"/>
      <c r="E39" s="35"/>
      <c r="F39" s="36">
        <f>SUM(F8:F38)</f>
        <v>523.86</v>
      </c>
      <c r="G39" s="100"/>
      <c r="H39" s="101">
        <f>SUM(H8:H38)</f>
        <v>396.2200000000001</v>
      </c>
      <c r="I39" s="102" t="e">
        <f>H39/J39</f>
        <v>#DIV/0!</v>
      </c>
      <c r="J39" s="101">
        <f>SUM(J8:J38)</f>
        <v>0</v>
      </c>
      <c r="K39" s="67" t="s">
        <v>8</v>
      </c>
      <c r="L39" s="68">
        <f>SUM(L8:L38)</f>
        <v>0</v>
      </c>
      <c r="M39" s="68">
        <f>L39*12</f>
        <v>0</v>
      </c>
      <c r="N39" s="103">
        <f>L39/H39</f>
        <v>0</v>
      </c>
      <c r="P39" s="10"/>
      <c r="Q39" s="10"/>
      <c r="R39" s="10"/>
      <c r="S39" s="10"/>
      <c r="T39" s="10"/>
    </row>
    <row r="40" spans="2:20" ht="27" thickBot="1">
      <c r="B40" s="8"/>
      <c r="D40" s="4"/>
      <c r="F40" s="4"/>
      <c r="G40"/>
      <c r="H40" s="4"/>
      <c r="I40" s="114" t="s">
        <v>58</v>
      </c>
      <c r="K40" s="67" t="s">
        <v>7</v>
      </c>
      <c r="L40" s="68">
        <f>SUM(L39*0.19)</f>
        <v>0</v>
      </c>
      <c r="M40" s="68">
        <f>SUM(M39*0.19)</f>
        <v>0</v>
      </c>
      <c r="P40" s="10"/>
      <c r="Q40" s="10"/>
      <c r="R40" s="10"/>
      <c r="S40" s="10"/>
      <c r="T40" s="10"/>
    </row>
    <row r="41" spans="1:16" ht="15.75" customHeight="1" thickBot="1">
      <c r="A41" s="38"/>
      <c r="B41" s="540"/>
      <c r="C41" s="540"/>
      <c r="D41" s="4"/>
      <c r="F41" s="80"/>
      <c r="G41" s="41"/>
      <c r="H41" s="94"/>
      <c r="I41" s="41"/>
      <c r="J41" s="41"/>
      <c r="K41" s="62" t="s">
        <v>9</v>
      </c>
      <c r="L41" s="61">
        <f>SUM(L40+L39)</f>
        <v>0</v>
      </c>
      <c r="M41" s="61">
        <f>SUM(M40+M39)</f>
        <v>0</v>
      </c>
      <c r="N41" s="60"/>
      <c r="O41" s="34"/>
      <c r="P41" s="10"/>
    </row>
    <row r="42" spans="2:20" ht="12.75">
      <c r="B42" s="1"/>
      <c r="D42" s="4"/>
      <c r="F42" s="4"/>
      <c r="G42"/>
      <c r="H42" s="80"/>
      <c r="I42"/>
      <c r="K42" s="14"/>
      <c r="L42" s="23"/>
      <c r="M42" s="23"/>
      <c r="N42" s="24"/>
      <c r="P42" s="10"/>
      <c r="Q42" s="10"/>
      <c r="R42" s="10"/>
      <c r="S42" s="10"/>
      <c r="T42" s="10"/>
    </row>
    <row r="43" spans="1:20" ht="15">
      <c r="A43" s="95"/>
      <c r="B43" s="96"/>
      <c r="C43" s="9"/>
      <c r="D43" s="80"/>
      <c r="E43" s="9"/>
      <c r="F43" s="80"/>
      <c r="G43" s="9"/>
      <c r="H43" s="80"/>
      <c r="I43"/>
      <c r="K43" s="14"/>
      <c r="P43" s="10"/>
      <c r="Q43" s="10"/>
      <c r="R43" s="10"/>
      <c r="S43" s="10"/>
      <c r="T43" s="10"/>
    </row>
    <row r="44" spans="1:20" ht="12.75">
      <c r="A44" s="97"/>
      <c r="B44" s="96"/>
      <c r="C44" s="9"/>
      <c r="D44" s="80"/>
      <c r="E44" s="9"/>
      <c r="F44" s="80"/>
      <c r="G44" s="9"/>
      <c r="H44" s="18"/>
      <c r="I44" s="10"/>
      <c r="J44" s="10"/>
      <c r="K44" s="10"/>
      <c r="L44" s="17"/>
      <c r="M44" s="10"/>
      <c r="P44" s="10"/>
      <c r="Q44" s="10"/>
      <c r="R44" s="10"/>
      <c r="S44" s="10"/>
      <c r="T44" s="10"/>
    </row>
    <row r="45" spans="1:20" ht="12.75">
      <c r="A45" s="9"/>
      <c r="B45" s="9"/>
      <c r="C45" s="9"/>
      <c r="D45" s="9"/>
      <c r="E45" s="9"/>
      <c r="F45" s="80"/>
      <c r="G45" s="80"/>
      <c r="H45" s="9"/>
      <c r="I45"/>
      <c r="P45" s="10"/>
      <c r="Q45" s="10"/>
      <c r="R45" s="10"/>
      <c r="S45" s="10"/>
      <c r="T45" s="10"/>
    </row>
    <row r="46" spans="1:20" ht="12.75">
      <c r="A46" s="9"/>
      <c r="B46" s="9"/>
      <c r="C46" s="9"/>
      <c r="D46" s="9"/>
      <c r="E46" s="9"/>
      <c r="F46" s="80"/>
      <c r="G46" s="80"/>
      <c r="H46" s="9"/>
      <c r="I46"/>
      <c r="P46" s="10"/>
      <c r="Q46" s="10"/>
      <c r="R46" s="10"/>
      <c r="S46" s="10"/>
      <c r="T46" s="10"/>
    </row>
    <row r="47" spans="1:20" ht="12.75">
      <c r="A47" s="10"/>
      <c r="B47" s="10"/>
      <c r="C47" s="10"/>
      <c r="D47" s="10"/>
      <c r="E47" s="10"/>
      <c r="F47" s="10"/>
      <c r="G47" s="17"/>
      <c r="H47" s="10"/>
      <c r="I47" s="17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</sheetData>
  <sheetProtection password="CC4A" sheet="1" selectLockedCells="1" sort="0" selectUnlockedCells="1"/>
  <protectedRanges>
    <protectedRange sqref="A7" name="Bereich1_1_1_1"/>
  </protectedRanges>
  <mergeCells count="7">
    <mergeCell ref="A6:A7"/>
    <mergeCell ref="N6:N7"/>
    <mergeCell ref="J6:J7"/>
    <mergeCell ref="K6:K7"/>
    <mergeCell ref="L6:L7"/>
    <mergeCell ref="M6:M7"/>
    <mergeCell ref="H6:H7"/>
  </mergeCells>
  <dataValidations count="2">
    <dataValidation type="list" allowBlank="1" sqref="C8:C38">
      <formula1>"Büro,Foyer,Besprechung,Kasse,Beh.WC,WC-D,WC-H,Abstellr.,Kassenhalle,Treppenhaus,Empfang"</formula1>
    </dataValidation>
    <dataValidation type="list" allowBlank="1" sqref="B8:B38">
      <formula1>" 1.UG, 2.UG,0.EG,1.OG,2.OG,3.OG,4.OG,5.OG"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  <headerFooter alignWithMargins="0">
    <oddHeader>&amp;LGemeinde Gingen a.d.F.&amp;C&amp;A&amp;REU-Ausschreibung Gebäudereinigung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5F922"/>
  </sheetPr>
  <dimension ref="A1:H20"/>
  <sheetViews>
    <sheetView zoomScale="90" zoomScaleNormal="90" workbookViewId="0" topLeftCell="A1">
      <selection activeCell="A24" sqref="A24"/>
    </sheetView>
  </sheetViews>
  <sheetFormatPr defaultColWidth="11.421875" defaultRowHeight="12.75"/>
  <cols>
    <col min="1" max="1" width="70.8515625" style="0" customWidth="1"/>
    <col min="2" max="3" width="11.57421875" style="0" customWidth="1"/>
    <col min="4" max="4" width="11.140625" style="0" customWidth="1"/>
    <col min="5" max="5" width="12.8515625" style="0" customWidth="1"/>
    <col min="6" max="6" width="12.421875" style="0" customWidth="1"/>
    <col min="7" max="7" width="3.140625" style="0" customWidth="1"/>
    <col min="8" max="8" width="4.57421875" style="0" customWidth="1"/>
    <col min="9" max="9" width="3.57421875" style="0" customWidth="1"/>
  </cols>
  <sheetData>
    <row r="1" spans="1:7" ht="38.25" customHeight="1" thickBot="1">
      <c r="A1" s="139" t="s">
        <v>301</v>
      </c>
      <c r="B1" s="140" t="s">
        <v>12</v>
      </c>
      <c r="C1" s="403" t="s">
        <v>433</v>
      </c>
      <c r="E1" s="3"/>
      <c r="F1" s="11"/>
      <c r="G1" s="10"/>
    </row>
    <row r="2" spans="1:8" ht="14.25" customHeight="1">
      <c r="A2" s="609" t="s">
        <v>400</v>
      </c>
      <c r="B2" s="610"/>
      <c r="C2" s="611" t="s">
        <v>424</v>
      </c>
      <c r="D2" s="127"/>
      <c r="E2" s="70"/>
      <c r="F2" s="70"/>
      <c r="G2" s="10"/>
      <c r="H2" s="10"/>
    </row>
    <row r="3" spans="1:8" ht="12.75">
      <c r="A3" s="612" t="s">
        <v>426</v>
      </c>
      <c r="B3" s="312"/>
      <c r="C3" s="398" t="s">
        <v>424</v>
      </c>
      <c r="D3" s="25"/>
      <c r="E3" s="10"/>
      <c r="F3" s="10"/>
      <c r="G3" s="10"/>
      <c r="H3" s="10"/>
    </row>
    <row r="4" spans="1:7" ht="13.5" customHeight="1">
      <c r="A4" s="613" t="s">
        <v>35</v>
      </c>
      <c r="B4" s="312"/>
      <c r="C4" s="398" t="s">
        <v>424</v>
      </c>
      <c r="D4" s="46"/>
      <c r="E4" s="10"/>
      <c r="F4" s="10"/>
      <c r="G4" s="10"/>
    </row>
    <row r="5" spans="1:7" s="9" customFormat="1" ht="15.75" customHeight="1">
      <c r="A5" s="614" t="s">
        <v>38</v>
      </c>
      <c r="B5" s="312"/>
      <c r="C5" s="398" t="s">
        <v>424</v>
      </c>
      <c r="D5" s="131"/>
      <c r="E5" s="527"/>
      <c r="F5" s="74"/>
      <c r="G5" s="10"/>
    </row>
    <row r="6" spans="1:7" ht="12.75">
      <c r="A6" s="613" t="s">
        <v>36</v>
      </c>
      <c r="B6" s="312"/>
      <c r="C6" s="398" t="s">
        <v>424</v>
      </c>
      <c r="F6" s="10"/>
      <c r="G6" s="10"/>
    </row>
    <row r="7" spans="1:7" ht="26.25" thickBot="1">
      <c r="A7" s="615" t="s">
        <v>70</v>
      </c>
      <c r="B7" s="313"/>
      <c r="C7" s="616" t="s">
        <v>424</v>
      </c>
      <c r="F7" s="10"/>
      <c r="G7" s="10"/>
    </row>
    <row r="8" spans="6:7" ht="12.75">
      <c r="F8" s="10"/>
      <c r="G8" s="10"/>
    </row>
    <row r="9" spans="6:7" ht="12.75">
      <c r="F9" s="10"/>
      <c r="G9" s="10"/>
    </row>
    <row r="10" spans="1:7" ht="18.75" thickBot="1">
      <c r="A10" s="49" t="s">
        <v>27</v>
      </c>
      <c r="B10" s="519"/>
      <c r="C10" s="22"/>
      <c r="D10" s="22"/>
      <c r="E10" s="3"/>
      <c r="F10" s="10"/>
      <c r="G10" s="10"/>
    </row>
    <row r="11" spans="1:8" ht="35.25" customHeight="1" thickBot="1">
      <c r="A11" s="425" t="s">
        <v>428</v>
      </c>
      <c r="B11" s="149" t="s">
        <v>19</v>
      </c>
      <c r="C11" s="265" t="s">
        <v>76</v>
      </c>
      <c r="D11" s="129" t="s">
        <v>17</v>
      </c>
      <c r="E11" s="161" t="s">
        <v>55</v>
      </c>
      <c r="F11" s="162" t="s">
        <v>56</v>
      </c>
      <c r="G11" s="10"/>
      <c r="H11" s="10"/>
    </row>
    <row r="12" spans="1:8" ht="16.5" customHeight="1" thickBot="1">
      <c r="A12" s="402" t="s">
        <v>429</v>
      </c>
      <c r="B12" s="159">
        <v>523.86</v>
      </c>
      <c r="C12" s="266"/>
      <c r="D12" s="267" t="e">
        <f>('StdVS Grundreinigung'!C58)/C12</f>
        <v>#DIV/0!</v>
      </c>
      <c r="E12" s="163" t="e">
        <f>B12*D12</f>
        <v>#DIV/0!</v>
      </c>
      <c r="F12" s="48" t="e">
        <f>E12*1.19</f>
        <v>#DIV/0!</v>
      </c>
      <c r="G12" s="10"/>
      <c r="H12" s="10"/>
    </row>
    <row r="13" spans="1:8" ht="12.75">
      <c r="A13" s="1"/>
      <c r="G13" s="10"/>
      <c r="H13" s="10"/>
    </row>
    <row r="14" spans="1:8" ht="12.75">
      <c r="A14" s="1"/>
      <c r="G14" s="10"/>
      <c r="H14" s="10"/>
    </row>
    <row r="15" spans="1:6" ht="18.75" thickBot="1">
      <c r="A15" s="297" t="s">
        <v>138</v>
      </c>
      <c r="B15" s="519"/>
      <c r="E15" s="45"/>
      <c r="F15" s="3"/>
    </row>
    <row r="16" spans="1:6" ht="25.5">
      <c r="A16" s="427" t="s">
        <v>428</v>
      </c>
      <c r="B16" s="416" t="s">
        <v>436</v>
      </c>
      <c r="C16" s="153" t="s">
        <v>76</v>
      </c>
      <c r="D16" s="152" t="s">
        <v>17</v>
      </c>
      <c r="E16" s="152" t="s">
        <v>55</v>
      </c>
      <c r="F16" s="155" t="s">
        <v>56</v>
      </c>
    </row>
    <row r="17" spans="1:6" ht="12.75">
      <c r="A17" s="342" t="s">
        <v>446</v>
      </c>
      <c r="B17" s="135">
        <v>43.39</v>
      </c>
      <c r="C17" s="301"/>
      <c r="D17" s="303" t="e">
        <f>('StdVS Glas-und Fensterreinigung'!C57)/C17</f>
        <v>#DIV/0!</v>
      </c>
      <c r="E17" s="125" t="e">
        <f>B17*D17</f>
        <v>#DIV/0!</v>
      </c>
      <c r="F17" s="136" t="e">
        <f>E17*1.19</f>
        <v>#DIV/0!</v>
      </c>
    </row>
    <row r="18" spans="1:6" ht="12.75">
      <c r="A18" s="342" t="s">
        <v>447</v>
      </c>
      <c r="B18" s="135">
        <v>148.26</v>
      </c>
      <c r="C18" s="301"/>
      <c r="D18" s="303" t="e">
        <f>('StdVS Glas-und Fensterreinigung'!C57)/C18</f>
        <v>#DIV/0!</v>
      </c>
      <c r="E18" s="125" t="e">
        <f>B18*D18</f>
        <v>#DIV/0!</v>
      </c>
      <c r="F18" s="136" t="e">
        <f>E18*1.19</f>
        <v>#DIV/0!</v>
      </c>
    </row>
    <row r="19" spans="1:6" ht="13.5" thickBot="1">
      <c r="A19" s="50" t="s">
        <v>62</v>
      </c>
      <c r="B19" s="164" t="s">
        <v>75</v>
      </c>
      <c r="C19" s="156" t="s">
        <v>75</v>
      </c>
      <c r="D19" s="156" t="s">
        <v>39</v>
      </c>
      <c r="E19" s="157"/>
      <c r="F19" s="158">
        <f>E19*1.19</f>
        <v>0</v>
      </c>
    </row>
    <row r="20" spans="1:6" ht="15.75" customHeight="1" thickBot="1">
      <c r="A20" s="134" t="s">
        <v>437</v>
      </c>
      <c r="B20" s="169">
        <f>B17+B18</f>
        <v>191.64999999999998</v>
      </c>
      <c r="C20" s="160" t="s">
        <v>75</v>
      </c>
      <c r="D20" s="160" t="s">
        <v>39</v>
      </c>
      <c r="E20" s="47" t="e">
        <f>SUM(E17:E19)</f>
        <v>#DIV/0!</v>
      </c>
      <c r="F20" s="48" t="e">
        <f>SUM(F17:F19)</f>
        <v>#DIV/0!</v>
      </c>
    </row>
  </sheetData>
  <sheetProtection selectLockedCells="1"/>
  <protectedRanges>
    <protectedRange sqref="D5:F5" name="Bereich1_2"/>
    <protectedRange sqref="D19:D20" name="Bereich1_1_2"/>
    <protectedRange sqref="E19" name="Bereich1_1_1_1_1_1"/>
    <protectedRange sqref="A19:C20" name="Bereich1_1_2_1"/>
    <protectedRange sqref="D11:D12" name="Bereich1_2_2"/>
    <protectedRange sqref="D17:D18" name="Bereich1_2_1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2" r:id="rId3"/>
  <headerFooter alignWithMargins="0">
    <oddHeader>&amp;LGemeinde Gingen a.d.F.&amp;C&amp;A&amp;REU-Ausschreibung Gebäudereinigung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K61"/>
  <sheetViews>
    <sheetView zoomScale="80" zoomScaleNormal="80" zoomScaleSheetLayoutView="100" workbookViewId="0" topLeftCell="A1">
      <selection activeCell="C49" sqref="C49"/>
    </sheetView>
  </sheetViews>
  <sheetFormatPr defaultColWidth="11.421875" defaultRowHeight="12.75"/>
  <cols>
    <col min="1" max="1" width="4.421875" style="0" bestFit="1" customWidth="1"/>
    <col min="2" max="2" width="55.8515625" style="0" customWidth="1"/>
    <col min="3" max="3" width="13.140625" style="0" bestFit="1" customWidth="1"/>
    <col min="4" max="4" width="11.421875" style="13" customWidth="1"/>
    <col min="5" max="5" width="13.57421875" style="0" customWidth="1"/>
    <col min="6" max="6" width="14.140625" style="0" customWidth="1"/>
    <col min="7" max="7" width="13.140625" style="0" customWidth="1"/>
  </cols>
  <sheetData>
    <row r="1" spans="1:6" ht="27.75" customHeight="1">
      <c r="A1" s="57"/>
      <c r="B1" s="669" t="s">
        <v>521</v>
      </c>
      <c r="C1" s="670"/>
      <c r="D1" s="670"/>
      <c r="E1" s="670"/>
      <c r="F1" s="671"/>
    </row>
    <row r="2" spans="1:6" ht="21" customHeight="1">
      <c r="A2" s="58"/>
      <c r="B2" s="672"/>
      <c r="C2" s="673"/>
      <c r="D2" s="673"/>
      <c r="E2" s="673"/>
      <c r="F2" s="674"/>
    </row>
    <row r="3" spans="2:6" ht="33" customHeight="1">
      <c r="B3" s="672"/>
      <c r="C3" s="673"/>
      <c r="D3" s="673"/>
      <c r="E3" s="673"/>
      <c r="F3" s="674"/>
    </row>
    <row r="4" spans="2:6" ht="15">
      <c r="B4" s="675" t="s">
        <v>79</v>
      </c>
      <c r="C4" s="676"/>
      <c r="D4" s="676"/>
      <c r="E4" s="676"/>
      <c r="F4" s="677"/>
    </row>
    <row r="5" spans="2:6" ht="12.75">
      <c r="B5" s="678"/>
      <c r="C5" s="679"/>
      <c r="D5" s="679"/>
      <c r="E5" s="679"/>
      <c r="F5" s="680"/>
    </row>
    <row r="6" spans="2:6" ht="12.75">
      <c r="B6" s="183"/>
      <c r="C6" s="184" t="s">
        <v>80</v>
      </c>
      <c r="D6" s="184" t="s">
        <v>81</v>
      </c>
      <c r="E6" s="185" t="s">
        <v>82</v>
      </c>
      <c r="F6" s="186" t="s">
        <v>83</v>
      </c>
    </row>
    <row r="7" spans="2:6" ht="13.5" thickBot="1">
      <c r="B7" s="183" t="s">
        <v>84</v>
      </c>
      <c r="C7" s="184" t="s">
        <v>85</v>
      </c>
      <c r="D7" s="184" t="s">
        <v>85</v>
      </c>
      <c r="E7" s="185" t="s">
        <v>86</v>
      </c>
      <c r="F7" s="186" t="s">
        <v>86</v>
      </c>
    </row>
    <row r="8" spans="2:7" ht="15.75" customHeight="1" thickBot="1">
      <c r="B8" s="187" t="s">
        <v>464</v>
      </c>
      <c r="C8" s="188">
        <v>1</v>
      </c>
      <c r="D8" s="188">
        <v>1</v>
      </c>
      <c r="E8" s="189"/>
      <c r="F8" s="189">
        <f>E8</f>
        <v>0</v>
      </c>
      <c r="G8" s="190"/>
    </row>
    <row r="9" spans="2:6" ht="15.75" thickBot="1">
      <c r="B9" s="191" t="s">
        <v>87</v>
      </c>
      <c r="C9" s="192"/>
      <c r="D9" s="192"/>
      <c r="E9" s="193"/>
      <c r="F9" s="194"/>
    </row>
    <row r="10" spans="2:6" ht="12.75">
      <c r="B10" s="195" t="s">
        <v>88</v>
      </c>
      <c r="C10" s="471">
        <v>0.093</v>
      </c>
      <c r="D10" s="472">
        <v>0.15</v>
      </c>
      <c r="E10" s="662">
        <f>E8*SUM(C10+C11)</f>
        <v>0</v>
      </c>
      <c r="F10" s="667">
        <f>F8*SUM(D10+D11)</f>
        <v>0</v>
      </c>
    </row>
    <row r="11" spans="2:6" ht="13.5" thickBot="1">
      <c r="B11" s="187" t="s">
        <v>89</v>
      </c>
      <c r="C11" s="473">
        <f>C30*C10</f>
        <v>0</v>
      </c>
      <c r="D11" s="474">
        <f>C30*D10</f>
        <v>0</v>
      </c>
      <c r="E11" s="663"/>
      <c r="F11" s="668"/>
    </row>
    <row r="12" spans="2:6" ht="12.75">
      <c r="B12" s="196" t="s">
        <v>90</v>
      </c>
      <c r="C12" s="471">
        <v>0.0736</v>
      </c>
      <c r="D12" s="472">
        <v>0.1306</v>
      </c>
      <c r="E12" s="662">
        <f>E8*SUM(C12+C13)</f>
        <v>0</v>
      </c>
      <c r="F12" s="667">
        <f>F8*SUM(D12+D13)</f>
        <v>0</v>
      </c>
    </row>
    <row r="13" spans="2:6" ht="13.5" thickBot="1">
      <c r="B13" s="196" t="s">
        <v>91</v>
      </c>
      <c r="C13" s="473">
        <f>C30*C12</f>
        <v>0</v>
      </c>
      <c r="D13" s="474">
        <f>C30*D12</f>
        <v>0</v>
      </c>
      <c r="E13" s="663"/>
      <c r="F13" s="668"/>
    </row>
    <row r="14" spans="2:6" ht="12.75">
      <c r="B14" s="187" t="s">
        <v>92</v>
      </c>
      <c r="C14" s="471">
        <v>0.015</v>
      </c>
      <c r="D14" s="197"/>
      <c r="E14" s="662">
        <f>E8*SUM(C14+C15)</f>
        <v>0</v>
      </c>
      <c r="F14" s="198"/>
    </row>
    <row r="15" spans="2:6" ht="13.5" thickBot="1">
      <c r="B15" s="187" t="s">
        <v>93</v>
      </c>
      <c r="C15" s="473">
        <f>C30*C14</f>
        <v>0</v>
      </c>
      <c r="D15" s="197"/>
      <c r="E15" s="663"/>
      <c r="F15" s="198"/>
    </row>
    <row r="16" spans="2:6" ht="12.75">
      <c r="B16" s="196" t="s">
        <v>94</v>
      </c>
      <c r="C16" s="475">
        <v>0.01275</v>
      </c>
      <c r="D16" s="197">
        <v>0.02</v>
      </c>
      <c r="E16" s="662">
        <f>E8*SUM(C16+C17)</f>
        <v>0</v>
      </c>
      <c r="F16" s="199">
        <f>F8*D16</f>
        <v>0</v>
      </c>
    </row>
    <row r="17" spans="2:6" ht="13.5" thickBot="1">
      <c r="B17" s="196" t="s">
        <v>95</v>
      </c>
      <c r="C17" s="473">
        <f>C30*C16</f>
        <v>0</v>
      </c>
      <c r="D17" s="197"/>
      <c r="E17" s="663"/>
      <c r="F17" s="199"/>
    </row>
    <row r="18" spans="2:6" ht="12.75">
      <c r="B18" s="187" t="s">
        <v>465</v>
      </c>
      <c r="C18" s="476"/>
      <c r="D18" s="200">
        <v>0.0024</v>
      </c>
      <c r="E18" s="662">
        <f>E8*SUM(C18+C19)</f>
        <v>0</v>
      </c>
      <c r="F18" s="667">
        <f>F8*SUM(D18+D19)</f>
        <v>0</v>
      </c>
    </row>
    <row r="19" spans="2:6" ht="13.5" thickBot="1">
      <c r="B19" s="187" t="s">
        <v>96</v>
      </c>
      <c r="C19" s="473">
        <f>C30*C18</f>
        <v>0</v>
      </c>
      <c r="D19" s="200">
        <f>C30*D18</f>
        <v>0</v>
      </c>
      <c r="E19" s="663"/>
      <c r="F19" s="668"/>
    </row>
    <row r="20" spans="2:6" ht="12.75">
      <c r="B20" s="187" t="s">
        <v>97</v>
      </c>
      <c r="C20" s="476"/>
      <c r="D20" s="200">
        <f>C20</f>
        <v>0</v>
      </c>
      <c r="E20" s="202">
        <f>E8*C20</f>
        <v>0</v>
      </c>
      <c r="F20" s="203">
        <f>F8*D20</f>
        <v>0</v>
      </c>
    </row>
    <row r="21" spans="2:6" ht="13.5" thickBot="1">
      <c r="B21" s="204" t="s">
        <v>98</v>
      </c>
      <c r="C21" s="205"/>
      <c r="D21" s="477">
        <f>C21</f>
        <v>0</v>
      </c>
      <c r="E21" s="206">
        <f>E8*C21</f>
        <v>0</v>
      </c>
      <c r="F21" s="207">
        <f>F8*D21</f>
        <v>0</v>
      </c>
    </row>
    <row r="22" spans="2:6" ht="13.5" thickBot="1">
      <c r="B22" s="208" t="s">
        <v>99</v>
      </c>
      <c r="C22" s="209">
        <f>SUM(C10:C21)</f>
        <v>0.19435</v>
      </c>
      <c r="D22" s="209">
        <f>SUM(D10:D21)</f>
        <v>0.303</v>
      </c>
      <c r="E22" s="210">
        <f>E10+E12+E14+E16+E18+E20+E21</f>
        <v>0</v>
      </c>
      <c r="F22" s="211">
        <f>F10+F12+F16+F18+F20+F21</f>
        <v>0</v>
      </c>
    </row>
    <row r="23" spans="2:6" ht="15.75" thickBot="1">
      <c r="B23" s="191" t="s">
        <v>100</v>
      </c>
      <c r="C23" s="212"/>
      <c r="D23" s="192"/>
      <c r="E23" s="192"/>
      <c r="F23" s="194"/>
    </row>
    <row r="24" spans="2:6" ht="12.75">
      <c r="B24" s="195" t="s">
        <v>101</v>
      </c>
      <c r="C24" s="213"/>
      <c r="D24" s="214">
        <f aca="true" t="shared" si="0" ref="D24:D29">C24</f>
        <v>0</v>
      </c>
      <c r="E24" s="215">
        <f>E8*C24</f>
        <v>0</v>
      </c>
      <c r="F24" s="216">
        <f>F8*D24</f>
        <v>0</v>
      </c>
    </row>
    <row r="25" spans="2:6" ht="12.75">
      <c r="B25" s="187" t="s">
        <v>102</v>
      </c>
      <c r="C25" s="201"/>
      <c r="D25" s="217">
        <f t="shared" si="0"/>
        <v>0</v>
      </c>
      <c r="E25" s="218">
        <f>E8*C25</f>
        <v>0</v>
      </c>
      <c r="F25" s="219">
        <f>F8*C25</f>
        <v>0</v>
      </c>
    </row>
    <row r="26" spans="2:6" ht="12.75">
      <c r="B26" s="187" t="s">
        <v>103</v>
      </c>
      <c r="C26" s="201"/>
      <c r="D26" s="217">
        <f t="shared" si="0"/>
        <v>0</v>
      </c>
      <c r="E26" s="218">
        <f>E8*C26</f>
        <v>0</v>
      </c>
      <c r="F26" s="219">
        <f>F8*D26</f>
        <v>0</v>
      </c>
    </row>
    <row r="27" spans="2:6" ht="12.75">
      <c r="B27" s="187" t="s">
        <v>104</v>
      </c>
      <c r="C27" s="478"/>
      <c r="D27" s="217">
        <f t="shared" si="0"/>
        <v>0</v>
      </c>
      <c r="E27" s="218">
        <f>E8*C27</f>
        <v>0</v>
      </c>
      <c r="F27" s="219">
        <f>F8*D27</f>
        <v>0</v>
      </c>
    </row>
    <row r="28" spans="2:6" ht="12.75">
      <c r="B28" s="187" t="s">
        <v>105</v>
      </c>
      <c r="C28" s="201"/>
      <c r="D28" s="217">
        <f t="shared" si="0"/>
        <v>0</v>
      </c>
      <c r="E28" s="218">
        <f>E8*C28</f>
        <v>0</v>
      </c>
      <c r="F28" s="219">
        <f>F8*D28</f>
        <v>0</v>
      </c>
    </row>
    <row r="29" spans="2:6" ht="13.5" thickBot="1">
      <c r="B29" s="208" t="s">
        <v>106</v>
      </c>
      <c r="C29" s="205"/>
      <c r="D29" s="220">
        <f t="shared" si="0"/>
        <v>0</v>
      </c>
      <c r="E29" s="221">
        <f>E8*C29</f>
        <v>0</v>
      </c>
      <c r="F29" s="222">
        <f>F8*D29</f>
        <v>0</v>
      </c>
    </row>
    <row r="30" spans="2:6" ht="12.75">
      <c r="B30" s="223" t="s">
        <v>107</v>
      </c>
      <c r="C30" s="224">
        <f>SUM(C24:C29)</f>
        <v>0</v>
      </c>
      <c r="D30" s="225">
        <f>SUM(D24:D29)</f>
        <v>0</v>
      </c>
      <c r="E30" s="226">
        <f>SUM(E24:E29)</f>
        <v>0</v>
      </c>
      <c r="F30" s="227">
        <f>SUM(F24:F29)</f>
        <v>0</v>
      </c>
    </row>
    <row r="31" spans="2:6" ht="12.75">
      <c r="B31" s="228"/>
      <c r="C31" s="229"/>
      <c r="D31" s="229"/>
      <c r="E31" s="230"/>
      <c r="F31" s="231"/>
    </row>
    <row r="32" spans="2:6" ht="13.5" thickBot="1">
      <c r="B32" s="208" t="s">
        <v>108</v>
      </c>
      <c r="C32" s="209">
        <f>C22+C30</f>
        <v>0.19435</v>
      </c>
      <c r="D32" s="209">
        <f>D22+D30</f>
        <v>0.303</v>
      </c>
      <c r="E32" s="232">
        <f>E22+E30</f>
        <v>0</v>
      </c>
      <c r="F32" s="211">
        <f>F22+F30</f>
        <v>0</v>
      </c>
    </row>
    <row r="33" spans="2:6" ht="15.75" thickBot="1">
      <c r="B33" s="191" t="s">
        <v>109</v>
      </c>
      <c r="C33" s="212"/>
      <c r="D33" s="192"/>
      <c r="E33" s="192"/>
      <c r="F33" s="194"/>
    </row>
    <row r="34" spans="2:6" ht="12.75">
      <c r="B34" s="195" t="s">
        <v>110</v>
      </c>
      <c r="C34" s="213"/>
      <c r="D34" s="214">
        <f>C34</f>
        <v>0</v>
      </c>
      <c r="E34" s="215">
        <f>E8*C34</f>
        <v>0</v>
      </c>
      <c r="F34" s="216">
        <f>F8*D34</f>
        <v>0</v>
      </c>
    </row>
    <row r="35" spans="2:6" ht="13.5" thickBot="1">
      <c r="B35" s="204" t="s">
        <v>111</v>
      </c>
      <c r="C35" s="205"/>
      <c r="D35" s="220">
        <f>C35</f>
        <v>0</v>
      </c>
      <c r="E35" s="221">
        <f>E8*C35</f>
        <v>0</v>
      </c>
      <c r="F35" s="222">
        <f>F8*D35</f>
        <v>0</v>
      </c>
    </row>
    <row r="36" spans="2:6" ht="15.75" thickBot="1">
      <c r="B36" s="233" t="s">
        <v>112</v>
      </c>
      <c r="C36" s="234"/>
      <c r="D36" s="234"/>
      <c r="E36" s="234"/>
      <c r="F36" s="235"/>
    </row>
    <row r="37" spans="2:6" ht="12.75">
      <c r="B37" s="195" t="s">
        <v>113</v>
      </c>
      <c r="C37" s="213"/>
      <c r="D37" s="214">
        <f>C37</f>
        <v>0</v>
      </c>
      <c r="E37" s="215">
        <f>E8*C37</f>
        <v>0</v>
      </c>
      <c r="F37" s="216">
        <f>F8*D37</f>
        <v>0</v>
      </c>
    </row>
    <row r="38" spans="2:6" ht="13.5" thickBot="1">
      <c r="B38" s="204" t="s">
        <v>114</v>
      </c>
      <c r="C38" s="205"/>
      <c r="D38" s="220">
        <f>C38</f>
        <v>0</v>
      </c>
      <c r="E38" s="218">
        <f>E8*C38</f>
        <v>0</v>
      </c>
      <c r="F38" s="219">
        <f>F8*D38</f>
        <v>0</v>
      </c>
    </row>
    <row r="39" spans="2:6" ht="13.5" thickBot="1">
      <c r="B39" s="208" t="s">
        <v>115</v>
      </c>
      <c r="C39" s="209">
        <f>C8+C32+C34+C35+C37+C38</f>
        <v>1.19435</v>
      </c>
      <c r="D39" s="209">
        <f>D8+D32+D34+D35+D37+D38</f>
        <v>1.303</v>
      </c>
      <c r="E39" s="236">
        <f>E8+E32+E34+E35+E37+E38</f>
        <v>0</v>
      </c>
      <c r="F39" s="237">
        <f>F8+F32+F34+F35+F37+F38</f>
        <v>0</v>
      </c>
    </row>
    <row r="40" spans="2:6" ht="15.75" thickBot="1">
      <c r="B40" s="191" t="s">
        <v>116</v>
      </c>
      <c r="C40" s="192"/>
      <c r="D40" s="192"/>
      <c r="E40" s="192"/>
      <c r="F40" s="194"/>
    </row>
    <row r="41" spans="2:6" ht="12.75">
      <c r="B41" s="195" t="s">
        <v>117</v>
      </c>
      <c r="C41" s="213"/>
      <c r="D41" s="214">
        <f>C41</f>
        <v>0</v>
      </c>
      <c r="E41" s="215">
        <f>E8*C41</f>
        <v>0</v>
      </c>
      <c r="F41" s="216">
        <f>F8*D41</f>
        <v>0</v>
      </c>
    </row>
    <row r="42" spans="2:6" ht="12.75">
      <c r="B42" s="187" t="s">
        <v>118</v>
      </c>
      <c r="C42" s="201"/>
      <c r="D42" s="217">
        <f>C42</f>
        <v>0</v>
      </c>
      <c r="E42" s="218">
        <f>E8*C42</f>
        <v>0</v>
      </c>
      <c r="F42" s="219">
        <f>F8*D42</f>
        <v>0</v>
      </c>
    </row>
    <row r="43" spans="2:6" ht="12.75">
      <c r="B43" s="187" t="s">
        <v>119</v>
      </c>
      <c r="C43" s="201"/>
      <c r="D43" s="217">
        <f>C43</f>
        <v>0</v>
      </c>
      <c r="E43" s="218">
        <f>E8*C43</f>
        <v>0</v>
      </c>
      <c r="F43" s="219">
        <f>F8*D43</f>
        <v>0</v>
      </c>
    </row>
    <row r="44" spans="2:6" ht="12.75">
      <c r="B44" s="187" t="s">
        <v>120</v>
      </c>
      <c r="C44" s="201"/>
      <c r="D44" s="217">
        <f>C44</f>
        <v>0</v>
      </c>
      <c r="E44" s="218">
        <f>E8*C44</f>
        <v>0</v>
      </c>
      <c r="F44" s="219">
        <f>F8*D44</f>
        <v>0</v>
      </c>
    </row>
    <row r="45" spans="2:6" ht="13.5" thickBot="1">
      <c r="B45" s="204" t="s">
        <v>121</v>
      </c>
      <c r="C45" s="205"/>
      <c r="D45" s="220">
        <f>C45</f>
        <v>0</v>
      </c>
      <c r="E45" s="221">
        <f>E8*C45</f>
        <v>0</v>
      </c>
      <c r="F45" s="222">
        <f>F8*D45</f>
        <v>0</v>
      </c>
    </row>
    <row r="46" spans="2:7" ht="13.5" thickBot="1">
      <c r="B46" s="238" t="s">
        <v>122</v>
      </c>
      <c r="C46" s="239">
        <f>SUM(C41:C45)</f>
        <v>0</v>
      </c>
      <c r="D46" s="239">
        <f>SUM(D41:D45)</f>
        <v>0</v>
      </c>
      <c r="E46" s="236">
        <f>SUM(E41:E45)</f>
        <v>0</v>
      </c>
      <c r="F46" s="237">
        <f>SUM(F41:F45)</f>
        <v>0</v>
      </c>
      <c r="G46" s="9"/>
    </row>
    <row r="47" spans="2:6" ht="15.75" thickBot="1">
      <c r="B47" s="233" t="s">
        <v>123</v>
      </c>
      <c r="C47" s="240">
        <f>C46+C39</f>
        <v>1.19435</v>
      </c>
      <c r="D47" s="239">
        <f>D46+D39</f>
        <v>1.303</v>
      </c>
      <c r="E47" s="241">
        <f>E39+E46</f>
        <v>0</v>
      </c>
      <c r="F47" s="242">
        <f>F39+F46</f>
        <v>0</v>
      </c>
    </row>
    <row r="48" spans="2:6" ht="12.75">
      <c r="B48" s="664"/>
      <c r="C48" s="665"/>
      <c r="D48" s="665"/>
      <c r="E48" s="665"/>
      <c r="F48" s="666"/>
    </row>
    <row r="49" spans="2:11" ht="12.75">
      <c r="B49" s="183" t="s">
        <v>124</v>
      </c>
      <c r="C49" s="201"/>
      <c r="D49" s="243">
        <f>C49</f>
        <v>0</v>
      </c>
      <c r="E49" s="244">
        <f>E47*C49</f>
        <v>0</v>
      </c>
      <c r="F49" s="245">
        <f>F47*D49</f>
        <v>0</v>
      </c>
      <c r="H49" s="9"/>
      <c r="I49" s="9"/>
      <c r="J49" s="9"/>
      <c r="K49" s="9"/>
    </row>
    <row r="50" spans="2:11" ht="12.75">
      <c r="B50" s="183" t="s">
        <v>125</v>
      </c>
      <c r="C50" s="243">
        <f>C47+C49</f>
        <v>1.19435</v>
      </c>
      <c r="D50" s="243">
        <f>D47+D49</f>
        <v>1.303</v>
      </c>
      <c r="E50" s="244">
        <f>SUM(E47:E49)</f>
        <v>0</v>
      </c>
      <c r="F50" s="245">
        <f>SUM(F47:F49)</f>
        <v>0</v>
      </c>
      <c r="G50" s="9"/>
      <c r="H50" s="9"/>
      <c r="I50" s="9"/>
      <c r="J50" s="9"/>
      <c r="K50" s="9"/>
    </row>
    <row r="51" spans="2:6" ht="13.5" thickBot="1">
      <c r="B51" s="183" t="s">
        <v>126</v>
      </c>
      <c r="C51" s="243"/>
      <c r="D51" s="243"/>
      <c r="E51" s="244">
        <f>E50</f>
        <v>0</v>
      </c>
      <c r="F51" s="245">
        <f>F50</f>
        <v>0</v>
      </c>
    </row>
    <row r="52" spans="2:6" ht="13.5" thickBot="1">
      <c r="B52" s="238" t="s">
        <v>127</v>
      </c>
      <c r="C52" s="239" t="e">
        <f>E52/E51</f>
        <v>#DIV/0!</v>
      </c>
      <c r="D52" s="239" t="e">
        <f>F52/F51</f>
        <v>#DIV/0!</v>
      </c>
      <c r="E52" s="246">
        <f>E39</f>
        <v>0</v>
      </c>
      <c r="F52" s="237">
        <f>F39</f>
        <v>0</v>
      </c>
    </row>
    <row r="53" spans="2:6" ht="12.75">
      <c r="B53" s="664"/>
      <c r="C53" s="665"/>
      <c r="D53" s="665"/>
      <c r="E53" s="665"/>
      <c r="F53" s="666"/>
    </row>
    <row r="54" spans="2:6" ht="18.75" thickBot="1">
      <c r="B54" s="187"/>
      <c r="C54" s="247" t="s">
        <v>128</v>
      </c>
      <c r="D54" s="247" t="s">
        <v>129</v>
      </c>
      <c r="E54" s="248" t="s">
        <v>130</v>
      </c>
      <c r="F54" s="194"/>
    </row>
    <row r="55" spans="2:6" ht="24" thickBot="1" thickTop="1">
      <c r="B55" s="249" t="s">
        <v>131</v>
      </c>
      <c r="C55" s="250">
        <v>100</v>
      </c>
      <c r="D55" s="250">
        <v>0</v>
      </c>
      <c r="E55" s="251">
        <f>C55%+D55%</f>
        <v>1</v>
      </c>
      <c r="F55" s="194"/>
    </row>
    <row r="56" spans="2:6" ht="14.25" thickBot="1" thickTop="1">
      <c r="B56" s="664"/>
      <c r="C56" s="665"/>
      <c r="D56" s="665"/>
      <c r="E56" s="665"/>
      <c r="F56" s="666"/>
    </row>
    <row r="57" spans="2:6" ht="16.5" thickBot="1" thickTop="1">
      <c r="B57" s="255" t="s">
        <v>132</v>
      </c>
      <c r="C57" s="256">
        <f>(E51*C55+F51*D55)/100</f>
        <v>0</v>
      </c>
      <c r="D57" s="192"/>
      <c r="E57" s="192"/>
      <c r="F57" s="254"/>
    </row>
    <row r="58" spans="2:6" ht="13.5" thickTop="1">
      <c r="B58" s="187"/>
      <c r="C58" s="257"/>
      <c r="D58" s="257"/>
      <c r="E58" s="192"/>
      <c r="F58" s="194"/>
    </row>
    <row r="59" spans="2:6" ht="12.75">
      <c r="B59" s="258" t="s">
        <v>133</v>
      </c>
      <c r="C59" s="3"/>
      <c r="D59" s="182"/>
      <c r="E59" s="3"/>
      <c r="F59" s="259"/>
    </row>
    <row r="60" spans="2:6" ht="12.75">
      <c r="B60" s="260" t="s">
        <v>134</v>
      </c>
      <c r="C60" s="3"/>
      <c r="D60" s="182"/>
      <c r="E60" s="3"/>
      <c r="F60" s="259"/>
    </row>
    <row r="61" spans="2:6" ht="13.5" thickBot="1">
      <c r="B61" s="21"/>
      <c r="C61" s="22"/>
      <c r="D61" s="261"/>
      <c r="E61" s="22"/>
      <c r="F61" s="262"/>
    </row>
  </sheetData>
  <sheetProtection/>
  <protectedRanges>
    <protectedRange sqref="C19" name="Bereich 05 Sozialversicherung_2_1"/>
    <protectedRange sqref="C55:D55" name="Bereich 11 SV   GV  Zusammensetzung_1_1"/>
    <protectedRange sqref="C10:C17" name="Bereich 05 Sozialversicherung_1_1_1"/>
  </protectedRanges>
  <mergeCells count="14">
    <mergeCell ref="B1:F3"/>
    <mergeCell ref="B4:F4"/>
    <mergeCell ref="B5:F5"/>
    <mergeCell ref="E10:E11"/>
    <mergeCell ref="F10:F11"/>
    <mergeCell ref="E12:E13"/>
    <mergeCell ref="F12:F13"/>
    <mergeCell ref="E14:E15"/>
    <mergeCell ref="E16:E17"/>
    <mergeCell ref="B56:F56"/>
    <mergeCell ref="E18:E19"/>
    <mergeCell ref="F18:F19"/>
    <mergeCell ref="B48:F48"/>
    <mergeCell ref="B53:F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3"/>
  <headerFooter alignWithMargins="0">
    <oddHeader>&amp;LGemeinde Gingen a.d.F.&amp;C&amp;A&amp;REU-Ausschreibung Gebäudereinigung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K61"/>
  <sheetViews>
    <sheetView zoomScale="80" zoomScaleNormal="80" zoomScaleSheetLayoutView="100" workbookViewId="0" topLeftCell="A1">
      <selection activeCell="G55" sqref="G55"/>
    </sheetView>
  </sheetViews>
  <sheetFormatPr defaultColWidth="11.421875" defaultRowHeight="12.75"/>
  <cols>
    <col min="1" max="1" width="4.421875" style="0" bestFit="1" customWidth="1"/>
    <col min="2" max="2" width="55.8515625" style="0" customWidth="1"/>
    <col min="3" max="3" width="13.140625" style="0" bestFit="1" customWidth="1"/>
    <col min="4" max="4" width="11.421875" style="13" customWidth="1"/>
    <col min="5" max="5" width="13.57421875" style="0" customWidth="1"/>
    <col min="6" max="6" width="14.140625" style="0" customWidth="1"/>
    <col min="7" max="7" width="13.140625" style="0" customWidth="1"/>
  </cols>
  <sheetData>
    <row r="1" spans="1:6" ht="27.75" customHeight="1">
      <c r="A1" s="57"/>
      <c r="B1" s="669" t="s">
        <v>66</v>
      </c>
      <c r="C1" s="670"/>
      <c r="D1" s="670"/>
      <c r="E1" s="670"/>
      <c r="F1" s="671"/>
    </row>
    <row r="2" spans="1:6" ht="21" customHeight="1">
      <c r="A2" s="58"/>
      <c r="B2" s="672"/>
      <c r="C2" s="673"/>
      <c r="D2" s="673"/>
      <c r="E2" s="673"/>
      <c r="F2" s="674"/>
    </row>
    <row r="3" spans="2:6" ht="33" customHeight="1">
      <c r="B3" s="672"/>
      <c r="C3" s="673"/>
      <c r="D3" s="673"/>
      <c r="E3" s="673"/>
      <c r="F3" s="674"/>
    </row>
    <row r="4" spans="2:6" ht="15">
      <c r="B4" s="675" t="s">
        <v>79</v>
      </c>
      <c r="C4" s="676"/>
      <c r="D4" s="676"/>
      <c r="E4" s="676"/>
      <c r="F4" s="677"/>
    </row>
    <row r="5" spans="2:6" ht="12.75">
      <c r="B5" s="678"/>
      <c r="C5" s="679"/>
      <c r="D5" s="679"/>
      <c r="E5" s="679"/>
      <c r="F5" s="680"/>
    </row>
    <row r="6" spans="2:6" ht="12.75">
      <c r="B6" s="183"/>
      <c r="C6" s="184" t="s">
        <v>80</v>
      </c>
      <c r="D6" s="184" t="s">
        <v>81</v>
      </c>
      <c r="E6" s="185" t="s">
        <v>82</v>
      </c>
      <c r="F6" s="186" t="s">
        <v>83</v>
      </c>
    </row>
    <row r="7" spans="2:6" ht="13.5" thickBot="1">
      <c r="B7" s="183" t="s">
        <v>84</v>
      </c>
      <c r="C7" s="184" t="s">
        <v>85</v>
      </c>
      <c r="D7" s="184" t="s">
        <v>85</v>
      </c>
      <c r="E7" s="185" t="s">
        <v>86</v>
      </c>
      <c r="F7" s="186" t="s">
        <v>86</v>
      </c>
    </row>
    <row r="8" spans="2:7" ht="15.75" customHeight="1" thickBot="1">
      <c r="B8" s="187" t="s">
        <v>464</v>
      </c>
      <c r="C8" s="188">
        <v>1</v>
      </c>
      <c r="D8" s="188">
        <v>1</v>
      </c>
      <c r="E8" s="189"/>
      <c r="F8" s="189">
        <f>E8</f>
        <v>0</v>
      </c>
      <c r="G8" s="190"/>
    </row>
    <row r="9" spans="2:6" ht="15.75" thickBot="1">
      <c r="B9" s="191" t="s">
        <v>87</v>
      </c>
      <c r="C9" s="192"/>
      <c r="D9" s="192"/>
      <c r="E9" s="193"/>
      <c r="F9" s="194"/>
    </row>
    <row r="10" spans="2:6" ht="12.75">
      <c r="B10" s="195" t="s">
        <v>88</v>
      </c>
      <c r="C10" s="471">
        <v>0.093</v>
      </c>
      <c r="D10" s="472">
        <v>0.15</v>
      </c>
      <c r="E10" s="662">
        <f>E8*SUM(C10+C11)</f>
        <v>0</v>
      </c>
      <c r="F10" s="667">
        <f>F8*SUM(D10+D11)</f>
        <v>0</v>
      </c>
    </row>
    <row r="11" spans="2:6" ht="13.5" thickBot="1">
      <c r="B11" s="187" t="s">
        <v>89</v>
      </c>
      <c r="C11" s="473">
        <f>C30*C10</f>
        <v>0</v>
      </c>
      <c r="D11" s="474">
        <f>C30*D10</f>
        <v>0</v>
      </c>
      <c r="E11" s="663"/>
      <c r="F11" s="668"/>
    </row>
    <row r="12" spans="2:6" ht="12.75">
      <c r="B12" s="196" t="s">
        <v>90</v>
      </c>
      <c r="C12" s="471">
        <v>0.0736</v>
      </c>
      <c r="D12" s="472">
        <v>0.1306</v>
      </c>
      <c r="E12" s="662">
        <f>E8*SUM(C12+C13)</f>
        <v>0</v>
      </c>
      <c r="F12" s="667">
        <f>F8*SUM(D12+D13)</f>
        <v>0</v>
      </c>
    </row>
    <row r="13" spans="2:6" ht="13.5" thickBot="1">
      <c r="B13" s="196" t="s">
        <v>91</v>
      </c>
      <c r="C13" s="473">
        <f>C30*C12</f>
        <v>0</v>
      </c>
      <c r="D13" s="474">
        <f>C30*D12</f>
        <v>0</v>
      </c>
      <c r="E13" s="663"/>
      <c r="F13" s="668"/>
    </row>
    <row r="14" spans="2:6" ht="12.75">
      <c r="B14" s="187" t="s">
        <v>92</v>
      </c>
      <c r="C14" s="471">
        <v>0.015</v>
      </c>
      <c r="D14" s="197"/>
      <c r="E14" s="662">
        <f>E8*SUM(C14+C15)</f>
        <v>0</v>
      </c>
      <c r="F14" s="198"/>
    </row>
    <row r="15" spans="2:6" ht="13.5" thickBot="1">
      <c r="B15" s="187" t="s">
        <v>93</v>
      </c>
      <c r="C15" s="473">
        <f>C30*C14</f>
        <v>0</v>
      </c>
      <c r="D15" s="197"/>
      <c r="E15" s="663"/>
      <c r="F15" s="198"/>
    </row>
    <row r="16" spans="2:6" ht="12.75">
      <c r="B16" s="196" t="s">
        <v>94</v>
      </c>
      <c r="C16" s="475">
        <v>0.01275</v>
      </c>
      <c r="D16" s="197">
        <v>0.02</v>
      </c>
      <c r="E16" s="662">
        <f>E8*SUM(C16+C17)</f>
        <v>0</v>
      </c>
      <c r="F16" s="199">
        <f>F8*D16</f>
        <v>0</v>
      </c>
    </row>
    <row r="17" spans="2:6" ht="13.5" thickBot="1">
      <c r="B17" s="196" t="s">
        <v>95</v>
      </c>
      <c r="C17" s="473">
        <f>C30*C16</f>
        <v>0</v>
      </c>
      <c r="D17" s="197"/>
      <c r="E17" s="663"/>
      <c r="F17" s="199"/>
    </row>
    <row r="18" spans="2:6" ht="12.75">
      <c r="B18" s="187" t="s">
        <v>465</v>
      </c>
      <c r="C18" s="476"/>
      <c r="D18" s="200">
        <v>0.0024</v>
      </c>
      <c r="E18" s="662">
        <f>E8*SUM(C18+C19)</f>
        <v>0</v>
      </c>
      <c r="F18" s="667">
        <f>F8*SUM(D18+D19)</f>
        <v>0</v>
      </c>
    </row>
    <row r="19" spans="2:6" ht="13.5" thickBot="1">
      <c r="B19" s="187" t="s">
        <v>96</v>
      </c>
      <c r="C19" s="473">
        <f>C30*C18</f>
        <v>0</v>
      </c>
      <c r="D19" s="200">
        <f>C30*D18</f>
        <v>0</v>
      </c>
      <c r="E19" s="663"/>
      <c r="F19" s="668"/>
    </row>
    <row r="20" spans="2:6" ht="12.75">
      <c r="B20" s="187" t="s">
        <v>97</v>
      </c>
      <c r="C20" s="476"/>
      <c r="D20" s="200">
        <f>C20</f>
        <v>0</v>
      </c>
      <c r="E20" s="202">
        <f>E8*C20</f>
        <v>0</v>
      </c>
      <c r="F20" s="203">
        <f>F8*D20</f>
        <v>0</v>
      </c>
    </row>
    <row r="21" spans="2:6" ht="13.5" thickBot="1">
      <c r="B21" s="204" t="s">
        <v>98</v>
      </c>
      <c r="C21" s="205"/>
      <c r="D21" s="477">
        <f>C21</f>
        <v>0</v>
      </c>
      <c r="E21" s="206">
        <f>E8*C21</f>
        <v>0</v>
      </c>
      <c r="F21" s="207">
        <f>F8*D21</f>
        <v>0</v>
      </c>
    </row>
    <row r="22" spans="2:6" ht="13.5" thickBot="1">
      <c r="B22" s="208" t="s">
        <v>99</v>
      </c>
      <c r="C22" s="209">
        <f>SUM(C10:C21)</f>
        <v>0.19435</v>
      </c>
      <c r="D22" s="209">
        <f>SUM(D10:D21)</f>
        <v>0.303</v>
      </c>
      <c r="E22" s="210">
        <f>E10+E12+E14+E16+E18+E20+E21</f>
        <v>0</v>
      </c>
      <c r="F22" s="211">
        <f>F10+F12+F16+F18+F20+F21</f>
        <v>0</v>
      </c>
    </row>
    <row r="23" spans="2:6" ht="15.75" thickBot="1">
      <c r="B23" s="191" t="s">
        <v>100</v>
      </c>
      <c r="C23" s="212"/>
      <c r="D23" s="192"/>
      <c r="E23" s="192"/>
      <c r="F23" s="194"/>
    </row>
    <row r="24" spans="2:6" ht="12.75">
      <c r="B24" s="195" t="s">
        <v>101</v>
      </c>
      <c r="C24" s="213"/>
      <c r="D24" s="214">
        <f aca="true" t="shared" si="0" ref="D24:D29">C24</f>
        <v>0</v>
      </c>
      <c r="E24" s="215">
        <f>E8*C24</f>
        <v>0</v>
      </c>
      <c r="F24" s="216">
        <f>F8*D24</f>
        <v>0</v>
      </c>
    </row>
    <row r="25" spans="2:6" ht="12.75">
      <c r="B25" s="187" t="s">
        <v>102</v>
      </c>
      <c r="C25" s="201"/>
      <c r="D25" s="217">
        <f t="shared" si="0"/>
        <v>0</v>
      </c>
      <c r="E25" s="218">
        <f>E8*C25</f>
        <v>0</v>
      </c>
      <c r="F25" s="219">
        <f>F8*C25</f>
        <v>0</v>
      </c>
    </row>
    <row r="26" spans="2:6" ht="12.75">
      <c r="B26" s="187" t="s">
        <v>103</v>
      </c>
      <c r="C26" s="201"/>
      <c r="D26" s="217">
        <f t="shared" si="0"/>
        <v>0</v>
      </c>
      <c r="E26" s="218">
        <f>E8*C26</f>
        <v>0</v>
      </c>
      <c r="F26" s="219">
        <f>F8*D26</f>
        <v>0</v>
      </c>
    </row>
    <row r="27" spans="2:6" ht="12.75">
      <c r="B27" s="187" t="s">
        <v>104</v>
      </c>
      <c r="C27" s="478"/>
      <c r="D27" s="217">
        <f t="shared" si="0"/>
        <v>0</v>
      </c>
      <c r="E27" s="218">
        <f>E8*C27</f>
        <v>0</v>
      </c>
      <c r="F27" s="219">
        <f>F8*D27</f>
        <v>0</v>
      </c>
    </row>
    <row r="28" spans="2:6" ht="12.75">
      <c r="B28" s="187" t="s">
        <v>105</v>
      </c>
      <c r="C28" s="201"/>
      <c r="D28" s="217">
        <f t="shared" si="0"/>
        <v>0</v>
      </c>
      <c r="E28" s="218">
        <f>E8*C28</f>
        <v>0</v>
      </c>
      <c r="F28" s="219">
        <f>F8*D28</f>
        <v>0</v>
      </c>
    </row>
    <row r="29" spans="2:6" ht="13.5" thickBot="1">
      <c r="B29" s="208" t="s">
        <v>106</v>
      </c>
      <c r="C29" s="205"/>
      <c r="D29" s="220">
        <f t="shared" si="0"/>
        <v>0</v>
      </c>
      <c r="E29" s="221">
        <f>E8*C29</f>
        <v>0</v>
      </c>
      <c r="F29" s="222">
        <f>F8*D29</f>
        <v>0</v>
      </c>
    </row>
    <row r="30" spans="2:6" ht="12.75">
      <c r="B30" s="223" t="s">
        <v>107</v>
      </c>
      <c r="C30" s="224">
        <f>SUM(C24:C29)</f>
        <v>0</v>
      </c>
      <c r="D30" s="225">
        <f>SUM(D24:D29)</f>
        <v>0</v>
      </c>
      <c r="E30" s="226">
        <f>SUM(E24:E29)</f>
        <v>0</v>
      </c>
      <c r="F30" s="227">
        <f>SUM(F24:F29)</f>
        <v>0</v>
      </c>
    </row>
    <row r="31" spans="2:6" ht="12.75">
      <c r="B31" s="228"/>
      <c r="C31" s="229"/>
      <c r="D31" s="229"/>
      <c r="E31" s="230"/>
      <c r="F31" s="231"/>
    </row>
    <row r="32" spans="2:6" ht="13.5" thickBot="1">
      <c r="B32" s="208" t="s">
        <v>108</v>
      </c>
      <c r="C32" s="209">
        <f>C22+C30</f>
        <v>0.19435</v>
      </c>
      <c r="D32" s="209">
        <f>D22+D30</f>
        <v>0.303</v>
      </c>
      <c r="E32" s="232">
        <f>E22+E30</f>
        <v>0</v>
      </c>
      <c r="F32" s="211">
        <f>F22+F30</f>
        <v>0</v>
      </c>
    </row>
    <row r="33" spans="2:6" ht="15.75" thickBot="1">
      <c r="B33" s="191" t="s">
        <v>109</v>
      </c>
      <c r="C33" s="212"/>
      <c r="D33" s="192"/>
      <c r="E33" s="192"/>
      <c r="F33" s="194"/>
    </row>
    <row r="34" spans="2:6" ht="12.75">
      <c r="B34" s="195" t="s">
        <v>110</v>
      </c>
      <c r="C34" s="213"/>
      <c r="D34" s="214">
        <f>C34</f>
        <v>0</v>
      </c>
      <c r="E34" s="215">
        <f>E8*C34</f>
        <v>0</v>
      </c>
      <c r="F34" s="216">
        <f>F8*D34</f>
        <v>0</v>
      </c>
    </row>
    <row r="35" spans="2:6" ht="13.5" thickBot="1">
      <c r="B35" s="204" t="s">
        <v>111</v>
      </c>
      <c r="C35" s="205"/>
      <c r="D35" s="220">
        <f>C35</f>
        <v>0</v>
      </c>
      <c r="E35" s="221">
        <f>E8*C35</f>
        <v>0</v>
      </c>
      <c r="F35" s="222">
        <f>F8*D35</f>
        <v>0</v>
      </c>
    </row>
    <row r="36" spans="2:6" ht="15.75" thickBot="1">
      <c r="B36" s="233" t="s">
        <v>112</v>
      </c>
      <c r="C36" s="234"/>
      <c r="D36" s="234"/>
      <c r="E36" s="234"/>
      <c r="F36" s="235"/>
    </row>
    <row r="37" spans="2:6" ht="12.75">
      <c r="B37" s="195" t="s">
        <v>113</v>
      </c>
      <c r="C37" s="213"/>
      <c r="D37" s="214">
        <f>C37</f>
        <v>0</v>
      </c>
      <c r="E37" s="215">
        <f>E8*C37</f>
        <v>0</v>
      </c>
      <c r="F37" s="216">
        <f>F8*D37</f>
        <v>0</v>
      </c>
    </row>
    <row r="38" spans="2:6" ht="13.5" thickBot="1">
      <c r="B38" s="204" t="s">
        <v>114</v>
      </c>
      <c r="C38" s="205"/>
      <c r="D38" s="220">
        <f>C38</f>
        <v>0</v>
      </c>
      <c r="E38" s="218">
        <f>E8*C38</f>
        <v>0</v>
      </c>
      <c r="F38" s="219">
        <f>F8*D38</f>
        <v>0</v>
      </c>
    </row>
    <row r="39" spans="2:6" ht="13.5" thickBot="1">
      <c r="B39" s="208" t="s">
        <v>115</v>
      </c>
      <c r="C39" s="209">
        <f>C8+C32+C34+C35+C37+C38</f>
        <v>1.19435</v>
      </c>
      <c r="D39" s="209">
        <f>D8+D32+D34+D35+D37+D38</f>
        <v>1.303</v>
      </c>
      <c r="E39" s="236">
        <f>E8+E32+E34+E35+E37+E38</f>
        <v>0</v>
      </c>
      <c r="F39" s="237">
        <f>F8+F32+F34+F35+F37+F38</f>
        <v>0</v>
      </c>
    </row>
    <row r="40" spans="2:6" ht="15.75" thickBot="1">
      <c r="B40" s="191" t="s">
        <v>116</v>
      </c>
      <c r="C40" s="192"/>
      <c r="D40" s="192"/>
      <c r="E40" s="192"/>
      <c r="F40" s="194"/>
    </row>
    <row r="41" spans="2:6" ht="12.75">
      <c r="B41" s="195" t="s">
        <v>117</v>
      </c>
      <c r="C41" s="213"/>
      <c r="D41" s="214">
        <f>C41</f>
        <v>0</v>
      </c>
      <c r="E41" s="215">
        <f>E8*C41</f>
        <v>0</v>
      </c>
      <c r="F41" s="216">
        <f>F8*D41</f>
        <v>0</v>
      </c>
    </row>
    <row r="42" spans="2:6" ht="12.75">
      <c r="B42" s="187" t="s">
        <v>118</v>
      </c>
      <c r="C42" s="201"/>
      <c r="D42" s="217">
        <f>C42</f>
        <v>0</v>
      </c>
      <c r="E42" s="218">
        <f>E8*C42</f>
        <v>0</v>
      </c>
      <c r="F42" s="219">
        <f>F8*D42</f>
        <v>0</v>
      </c>
    </row>
    <row r="43" spans="2:6" ht="12.75">
      <c r="B43" s="187" t="s">
        <v>119</v>
      </c>
      <c r="C43" s="201"/>
      <c r="D43" s="217">
        <f>C43</f>
        <v>0</v>
      </c>
      <c r="E43" s="218">
        <f>E8*C43</f>
        <v>0</v>
      </c>
      <c r="F43" s="219">
        <f>F8*D43</f>
        <v>0</v>
      </c>
    </row>
    <row r="44" spans="2:6" ht="12.75">
      <c r="B44" s="187" t="s">
        <v>120</v>
      </c>
      <c r="C44" s="201"/>
      <c r="D44" s="217">
        <f>C44</f>
        <v>0</v>
      </c>
      <c r="E44" s="218">
        <f>E8*C44</f>
        <v>0</v>
      </c>
      <c r="F44" s="219">
        <f>F8*D44</f>
        <v>0</v>
      </c>
    </row>
    <row r="45" spans="2:6" ht="13.5" thickBot="1">
      <c r="B45" s="204" t="s">
        <v>121</v>
      </c>
      <c r="C45" s="205"/>
      <c r="D45" s="220">
        <f>C45</f>
        <v>0</v>
      </c>
      <c r="E45" s="221">
        <f>E8*C45</f>
        <v>0</v>
      </c>
      <c r="F45" s="222">
        <f>F8*D45</f>
        <v>0</v>
      </c>
    </row>
    <row r="46" spans="2:7" ht="13.5" thickBot="1">
      <c r="B46" s="238" t="s">
        <v>122</v>
      </c>
      <c r="C46" s="239">
        <f>SUM(C41:C45)</f>
        <v>0</v>
      </c>
      <c r="D46" s="239">
        <f>SUM(D41:D45)</f>
        <v>0</v>
      </c>
      <c r="E46" s="236">
        <f>SUM(E41:E45)</f>
        <v>0</v>
      </c>
      <c r="F46" s="237">
        <f>SUM(F41:F45)</f>
        <v>0</v>
      </c>
      <c r="G46" s="9"/>
    </row>
    <row r="47" spans="2:6" ht="15.75" thickBot="1">
      <c r="B47" s="233" t="s">
        <v>123</v>
      </c>
      <c r="C47" s="240">
        <f>C46+C39</f>
        <v>1.19435</v>
      </c>
      <c r="D47" s="239">
        <f>D46+D39</f>
        <v>1.303</v>
      </c>
      <c r="E47" s="241">
        <f>E39+E46</f>
        <v>0</v>
      </c>
      <c r="F47" s="242">
        <f>F39+F46</f>
        <v>0</v>
      </c>
    </row>
    <row r="48" spans="2:6" ht="12.75">
      <c r="B48" s="664"/>
      <c r="C48" s="665"/>
      <c r="D48" s="665"/>
      <c r="E48" s="665"/>
      <c r="F48" s="666"/>
    </row>
    <row r="49" spans="2:11" ht="12.75">
      <c r="B49" s="183" t="s">
        <v>124</v>
      </c>
      <c r="C49" s="201"/>
      <c r="D49" s="243">
        <f>C49</f>
        <v>0</v>
      </c>
      <c r="E49" s="244">
        <f>E47*C49</f>
        <v>0</v>
      </c>
      <c r="F49" s="245">
        <f>F47*D49</f>
        <v>0</v>
      </c>
      <c r="H49" s="9"/>
      <c r="I49" s="9"/>
      <c r="J49" s="9"/>
      <c r="K49" s="9"/>
    </row>
    <row r="50" spans="2:11" ht="12.75">
      <c r="B50" s="183" t="s">
        <v>125</v>
      </c>
      <c r="C50" s="243">
        <f>C47+C49</f>
        <v>1.19435</v>
      </c>
      <c r="D50" s="243">
        <f>D47+D49</f>
        <v>1.303</v>
      </c>
      <c r="E50" s="244">
        <f>SUM(E47:E49)</f>
        <v>0</v>
      </c>
      <c r="F50" s="245">
        <f>SUM(F47:F49)</f>
        <v>0</v>
      </c>
      <c r="G50" s="9"/>
      <c r="H50" s="9"/>
      <c r="I50" s="9"/>
      <c r="J50" s="9"/>
      <c r="K50" s="9"/>
    </row>
    <row r="51" spans="2:6" ht="13.5" thickBot="1">
      <c r="B51" s="183" t="s">
        <v>126</v>
      </c>
      <c r="C51" s="243"/>
      <c r="D51" s="243"/>
      <c r="E51" s="244">
        <f>E50</f>
        <v>0</v>
      </c>
      <c r="F51" s="245">
        <f>F50</f>
        <v>0</v>
      </c>
    </row>
    <row r="52" spans="2:6" ht="13.5" thickBot="1">
      <c r="B52" s="238" t="s">
        <v>127</v>
      </c>
      <c r="C52" s="239" t="e">
        <f>E52/E51</f>
        <v>#DIV/0!</v>
      </c>
      <c r="D52" s="239" t="e">
        <f>F52/F51</f>
        <v>#DIV/0!</v>
      </c>
      <c r="E52" s="246">
        <f>E39</f>
        <v>0</v>
      </c>
      <c r="F52" s="237">
        <f>F39</f>
        <v>0</v>
      </c>
    </row>
    <row r="53" spans="2:6" ht="12.75">
      <c r="B53" s="664"/>
      <c r="C53" s="665"/>
      <c r="D53" s="665"/>
      <c r="E53" s="665"/>
      <c r="F53" s="666"/>
    </row>
    <row r="54" spans="2:6" ht="18.75" thickBot="1">
      <c r="B54" s="187"/>
      <c r="C54" s="247" t="s">
        <v>128</v>
      </c>
      <c r="D54" s="247" t="s">
        <v>129</v>
      </c>
      <c r="E54" s="248" t="s">
        <v>130</v>
      </c>
      <c r="F54" s="194"/>
    </row>
    <row r="55" spans="2:6" ht="24" thickBot="1" thickTop="1">
      <c r="B55" s="249" t="s">
        <v>131</v>
      </c>
      <c r="C55" s="250">
        <v>100</v>
      </c>
      <c r="D55" s="250">
        <v>0</v>
      </c>
      <c r="E55" s="251">
        <f>C55%+D55%</f>
        <v>1</v>
      </c>
      <c r="F55" s="194"/>
    </row>
    <row r="56" spans="2:6" ht="14.25" thickBot="1" thickTop="1">
      <c r="B56" s="664"/>
      <c r="C56" s="665"/>
      <c r="D56" s="665"/>
      <c r="E56" s="665"/>
      <c r="F56" s="666"/>
    </row>
    <row r="57" spans="2:6" ht="16.5" thickBot="1" thickTop="1">
      <c r="B57" s="255" t="s">
        <v>132</v>
      </c>
      <c r="C57" s="256">
        <f>(E51*C55+F51*D55)/100</f>
        <v>0</v>
      </c>
      <c r="D57" s="192"/>
      <c r="E57" s="192"/>
      <c r="F57" s="254"/>
    </row>
    <row r="58" spans="2:6" ht="13.5" thickTop="1">
      <c r="B58" s="187"/>
      <c r="C58" s="257"/>
      <c r="D58" s="257"/>
      <c r="E58" s="192"/>
      <c r="F58" s="194"/>
    </row>
    <row r="59" spans="2:6" ht="12.75">
      <c r="B59" s="258" t="s">
        <v>133</v>
      </c>
      <c r="C59" s="3"/>
      <c r="D59" s="182"/>
      <c r="E59" s="3"/>
      <c r="F59" s="259"/>
    </row>
    <row r="60" spans="2:6" ht="12.75">
      <c r="B60" s="260" t="s">
        <v>134</v>
      </c>
      <c r="C60" s="3"/>
      <c r="D60" s="182"/>
      <c r="E60" s="3"/>
      <c r="F60" s="259"/>
    </row>
    <row r="61" spans="2:6" ht="13.5" thickBot="1">
      <c r="B61" s="21"/>
      <c r="C61" s="22"/>
      <c r="D61" s="261"/>
      <c r="E61" s="22"/>
      <c r="F61" s="262"/>
    </row>
  </sheetData>
  <sheetProtection/>
  <protectedRanges>
    <protectedRange sqref="C19" name="Bereich 05 Sozialversicherung_2_1"/>
    <protectedRange sqref="C55:D55" name="Bereich 11 SV   GV  Zusammensetzung_1_1"/>
    <protectedRange sqref="C10:C17" name="Bereich 05 Sozialversicherung_1_1_1"/>
  </protectedRanges>
  <mergeCells count="14">
    <mergeCell ref="B1:F3"/>
    <mergeCell ref="B4:F4"/>
    <mergeCell ref="B5:F5"/>
    <mergeCell ref="E10:E11"/>
    <mergeCell ref="F10:F11"/>
    <mergeCell ref="B56:F56"/>
    <mergeCell ref="E18:E19"/>
    <mergeCell ref="F18:F19"/>
    <mergeCell ref="B48:F48"/>
    <mergeCell ref="B53:F53"/>
    <mergeCell ref="E12:E13"/>
    <mergeCell ref="F12:F13"/>
    <mergeCell ref="E14:E15"/>
    <mergeCell ref="E16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3"/>
  <headerFooter alignWithMargins="0">
    <oddHeader>&amp;LGemeinde Gingen a.d.F.&amp;C&amp;A&amp;REU-Ausschreibung Gebäudereinigung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K62"/>
  <sheetViews>
    <sheetView zoomScale="80" zoomScaleNormal="80" zoomScaleSheetLayoutView="100" workbookViewId="0" topLeftCell="A1">
      <selection activeCell="C49" sqref="C49"/>
    </sheetView>
  </sheetViews>
  <sheetFormatPr defaultColWidth="11.421875" defaultRowHeight="12.75"/>
  <cols>
    <col min="1" max="1" width="4.421875" style="0" bestFit="1" customWidth="1"/>
    <col min="2" max="2" width="55.8515625" style="0" customWidth="1"/>
    <col min="3" max="3" width="13.140625" style="0" bestFit="1" customWidth="1"/>
    <col min="4" max="4" width="11.421875" style="13" customWidth="1"/>
    <col min="5" max="5" width="13.57421875" style="0" customWidth="1"/>
    <col min="6" max="6" width="14.140625" style="0" customWidth="1"/>
    <col min="7" max="7" width="13.140625" style="0" customWidth="1"/>
  </cols>
  <sheetData>
    <row r="1" spans="1:6" ht="27.75" customHeight="1">
      <c r="A1" s="57"/>
      <c r="B1" s="669" t="s">
        <v>531</v>
      </c>
      <c r="C1" s="670"/>
      <c r="D1" s="670"/>
      <c r="E1" s="670"/>
      <c r="F1" s="671"/>
    </row>
    <row r="2" spans="1:6" ht="21" customHeight="1">
      <c r="A2" s="58"/>
      <c r="B2" s="672"/>
      <c r="C2" s="673"/>
      <c r="D2" s="673"/>
      <c r="E2" s="673"/>
      <c r="F2" s="674"/>
    </row>
    <row r="3" spans="2:6" ht="33" customHeight="1">
      <c r="B3" s="672"/>
      <c r="C3" s="673"/>
      <c r="D3" s="673"/>
      <c r="E3" s="673"/>
      <c r="F3" s="674"/>
    </row>
    <row r="4" spans="2:6" ht="15">
      <c r="B4" s="675" t="s">
        <v>79</v>
      </c>
      <c r="C4" s="676"/>
      <c r="D4" s="676"/>
      <c r="E4" s="676"/>
      <c r="F4" s="677"/>
    </row>
    <row r="5" spans="2:6" ht="12.75">
      <c r="B5" s="678"/>
      <c r="C5" s="679"/>
      <c r="D5" s="679"/>
      <c r="E5" s="679"/>
      <c r="F5" s="680"/>
    </row>
    <row r="6" spans="2:6" ht="12.75">
      <c r="B6" s="183"/>
      <c r="C6" s="184" t="s">
        <v>80</v>
      </c>
      <c r="D6" s="184" t="s">
        <v>81</v>
      </c>
      <c r="E6" s="185" t="s">
        <v>82</v>
      </c>
      <c r="F6" s="186" t="s">
        <v>83</v>
      </c>
    </row>
    <row r="7" spans="2:6" ht="13.5" thickBot="1">
      <c r="B7" s="183" t="s">
        <v>84</v>
      </c>
      <c r="C7" s="184" t="s">
        <v>85</v>
      </c>
      <c r="D7" s="184" t="s">
        <v>85</v>
      </c>
      <c r="E7" s="185" t="s">
        <v>86</v>
      </c>
      <c r="F7" s="186" t="s">
        <v>86</v>
      </c>
    </row>
    <row r="8" spans="2:7" ht="15.75" customHeight="1" thickBot="1">
      <c r="B8" s="187" t="s">
        <v>464</v>
      </c>
      <c r="C8" s="188">
        <v>1</v>
      </c>
      <c r="D8" s="188">
        <v>1</v>
      </c>
      <c r="E8" s="189"/>
      <c r="F8" s="189">
        <f>E8</f>
        <v>0</v>
      </c>
      <c r="G8" s="190"/>
    </row>
    <row r="9" spans="2:6" ht="15.75" thickBot="1">
      <c r="B9" s="191" t="s">
        <v>87</v>
      </c>
      <c r="C9" s="192"/>
      <c r="D9" s="192"/>
      <c r="E9" s="193"/>
      <c r="F9" s="194"/>
    </row>
    <row r="10" spans="2:6" ht="12.75">
      <c r="B10" s="195" t="s">
        <v>88</v>
      </c>
      <c r="C10" s="471">
        <v>0.093</v>
      </c>
      <c r="D10" s="472">
        <v>0.15</v>
      </c>
      <c r="E10" s="662">
        <f>E8*SUM(C10+C11)</f>
        <v>0</v>
      </c>
      <c r="F10" s="667">
        <f>F8*SUM(D10+D11)</f>
        <v>0</v>
      </c>
    </row>
    <row r="11" spans="2:6" ht="13.5" thickBot="1">
      <c r="B11" s="187" t="s">
        <v>89</v>
      </c>
      <c r="C11" s="473">
        <f>C30*C10</f>
        <v>0</v>
      </c>
      <c r="D11" s="474">
        <f>C30*D10</f>
        <v>0</v>
      </c>
      <c r="E11" s="663"/>
      <c r="F11" s="668"/>
    </row>
    <row r="12" spans="2:6" ht="12.75">
      <c r="B12" s="196" t="s">
        <v>90</v>
      </c>
      <c r="C12" s="471">
        <v>0.0736</v>
      </c>
      <c r="D12" s="472">
        <v>0.1306</v>
      </c>
      <c r="E12" s="662">
        <f>E8*SUM(C12+C13)</f>
        <v>0</v>
      </c>
      <c r="F12" s="667">
        <f>F8*SUM(D12+D13)</f>
        <v>0</v>
      </c>
    </row>
    <row r="13" spans="2:6" ht="13.5" thickBot="1">
      <c r="B13" s="196" t="s">
        <v>91</v>
      </c>
      <c r="C13" s="473">
        <f>C30*C12</f>
        <v>0</v>
      </c>
      <c r="D13" s="474">
        <f>C30*D12</f>
        <v>0</v>
      </c>
      <c r="E13" s="663"/>
      <c r="F13" s="668"/>
    </row>
    <row r="14" spans="2:6" ht="12.75">
      <c r="B14" s="187" t="s">
        <v>92</v>
      </c>
      <c r="C14" s="471">
        <v>0.015</v>
      </c>
      <c r="D14" s="197"/>
      <c r="E14" s="662">
        <f>E8*SUM(C14+C15)</f>
        <v>0</v>
      </c>
      <c r="F14" s="198"/>
    </row>
    <row r="15" spans="2:6" ht="13.5" thickBot="1">
      <c r="B15" s="187" t="s">
        <v>93</v>
      </c>
      <c r="C15" s="473">
        <f>C30*C14</f>
        <v>0</v>
      </c>
      <c r="D15" s="197"/>
      <c r="E15" s="663"/>
      <c r="F15" s="198"/>
    </row>
    <row r="16" spans="2:6" ht="12.75">
      <c r="B16" s="196" t="s">
        <v>94</v>
      </c>
      <c r="C16" s="475">
        <v>0.01275</v>
      </c>
      <c r="D16" s="197">
        <v>0.02</v>
      </c>
      <c r="E16" s="662">
        <f>E8*SUM(C16+C17)</f>
        <v>0</v>
      </c>
      <c r="F16" s="199">
        <f>F8*D16</f>
        <v>0</v>
      </c>
    </row>
    <row r="17" spans="2:6" ht="13.5" thickBot="1">
      <c r="B17" s="196" t="s">
        <v>95</v>
      </c>
      <c r="C17" s="473">
        <f>C30*C16</f>
        <v>0</v>
      </c>
      <c r="D17" s="197"/>
      <c r="E17" s="663"/>
      <c r="F17" s="199"/>
    </row>
    <row r="18" spans="2:6" ht="12.75">
      <c r="B18" s="187" t="s">
        <v>465</v>
      </c>
      <c r="C18" s="476"/>
      <c r="D18" s="200">
        <v>0.0024</v>
      </c>
      <c r="E18" s="662">
        <f>E8*SUM(C18+C19)</f>
        <v>0</v>
      </c>
      <c r="F18" s="667">
        <f>F8*SUM(D18+D19)</f>
        <v>0</v>
      </c>
    </row>
    <row r="19" spans="2:6" ht="13.5" thickBot="1">
      <c r="B19" s="187" t="s">
        <v>96</v>
      </c>
      <c r="C19" s="473">
        <f>C30*C18</f>
        <v>0</v>
      </c>
      <c r="D19" s="200">
        <f>C30*D18</f>
        <v>0</v>
      </c>
      <c r="E19" s="663"/>
      <c r="F19" s="668"/>
    </row>
    <row r="20" spans="2:6" ht="12.75">
      <c r="B20" s="187" t="s">
        <v>97</v>
      </c>
      <c r="C20" s="476"/>
      <c r="D20" s="200">
        <f>C20</f>
        <v>0</v>
      </c>
      <c r="E20" s="202">
        <f>E8*C20</f>
        <v>0</v>
      </c>
      <c r="F20" s="203">
        <f>F8*D20</f>
        <v>0</v>
      </c>
    </row>
    <row r="21" spans="2:6" ht="13.5" thickBot="1">
      <c r="B21" s="204" t="s">
        <v>98</v>
      </c>
      <c r="C21" s="205"/>
      <c r="D21" s="477">
        <f>C21</f>
        <v>0</v>
      </c>
      <c r="E21" s="206">
        <f>E8*C21</f>
        <v>0</v>
      </c>
      <c r="F21" s="207">
        <f>F8*D21</f>
        <v>0</v>
      </c>
    </row>
    <row r="22" spans="2:6" ht="13.5" thickBot="1">
      <c r="B22" s="208" t="s">
        <v>99</v>
      </c>
      <c r="C22" s="209">
        <f>SUM(C10:C21)</f>
        <v>0.19435</v>
      </c>
      <c r="D22" s="209">
        <f>SUM(D10:D21)</f>
        <v>0.303</v>
      </c>
      <c r="E22" s="210">
        <f>E10+E12+E14+E16+E18+E20+E21</f>
        <v>0</v>
      </c>
      <c r="F22" s="211">
        <f>F10+F12+F16+F18+F20+F21</f>
        <v>0</v>
      </c>
    </row>
    <row r="23" spans="2:6" ht="15.75" thickBot="1">
      <c r="B23" s="191" t="s">
        <v>100</v>
      </c>
      <c r="C23" s="212"/>
      <c r="D23" s="192"/>
      <c r="E23" s="192"/>
      <c r="F23" s="194"/>
    </row>
    <row r="24" spans="2:6" ht="12.75">
      <c r="B24" s="195" t="s">
        <v>101</v>
      </c>
      <c r="C24" s="213"/>
      <c r="D24" s="214">
        <f aca="true" t="shared" si="0" ref="D24:D29">C24</f>
        <v>0</v>
      </c>
      <c r="E24" s="215">
        <f>E8*C24</f>
        <v>0</v>
      </c>
      <c r="F24" s="216">
        <f>F8*D24</f>
        <v>0</v>
      </c>
    </row>
    <row r="25" spans="2:6" ht="12.75">
      <c r="B25" s="187" t="s">
        <v>102</v>
      </c>
      <c r="C25" s="201"/>
      <c r="D25" s="217">
        <f t="shared" si="0"/>
        <v>0</v>
      </c>
      <c r="E25" s="218">
        <f>E8*C25</f>
        <v>0</v>
      </c>
      <c r="F25" s="219">
        <f>F8*C25</f>
        <v>0</v>
      </c>
    </row>
    <row r="26" spans="2:6" ht="12.75">
      <c r="B26" s="187" t="s">
        <v>103</v>
      </c>
      <c r="C26" s="201"/>
      <c r="D26" s="217">
        <f t="shared" si="0"/>
        <v>0</v>
      </c>
      <c r="E26" s="218">
        <f>E8*C26</f>
        <v>0</v>
      </c>
      <c r="F26" s="219">
        <f>F8*D26</f>
        <v>0</v>
      </c>
    </row>
    <row r="27" spans="2:6" ht="12.75">
      <c r="B27" s="187" t="s">
        <v>104</v>
      </c>
      <c r="C27" s="478"/>
      <c r="D27" s="217">
        <f t="shared" si="0"/>
        <v>0</v>
      </c>
      <c r="E27" s="218">
        <f>E8*C27</f>
        <v>0</v>
      </c>
      <c r="F27" s="219">
        <f>F8*D27</f>
        <v>0</v>
      </c>
    </row>
    <row r="28" spans="2:6" ht="12.75">
      <c r="B28" s="187" t="s">
        <v>105</v>
      </c>
      <c r="C28" s="201"/>
      <c r="D28" s="217">
        <f t="shared" si="0"/>
        <v>0</v>
      </c>
      <c r="E28" s="218">
        <f>E8*C28</f>
        <v>0</v>
      </c>
      <c r="F28" s="219">
        <f>F8*D28</f>
        <v>0</v>
      </c>
    </row>
    <row r="29" spans="2:6" ht="13.5" thickBot="1">
      <c r="B29" s="208" t="s">
        <v>106</v>
      </c>
      <c r="C29" s="205"/>
      <c r="D29" s="220">
        <f t="shared" si="0"/>
        <v>0</v>
      </c>
      <c r="E29" s="221">
        <f>E8*C29</f>
        <v>0</v>
      </c>
      <c r="F29" s="222">
        <f>F8*D29</f>
        <v>0</v>
      </c>
    </row>
    <row r="30" spans="2:6" ht="12.75">
      <c r="B30" s="223" t="s">
        <v>107</v>
      </c>
      <c r="C30" s="224">
        <f>SUM(C24:C29)</f>
        <v>0</v>
      </c>
      <c r="D30" s="225">
        <f>SUM(D24:D29)</f>
        <v>0</v>
      </c>
      <c r="E30" s="226">
        <f>SUM(E24:E29)</f>
        <v>0</v>
      </c>
      <c r="F30" s="227">
        <f>SUM(F24:F29)</f>
        <v>0</v>
      </c>
    </row>
    <row r="31" spans="2:6" ht="12.75">
      <c r="B31" s="228"/>
      <c r="C31" s="229"/>
      <c r="D31" s="229"/>
      <c r="E31" s="230"/>
      <c r="F31" s="231"/>
    </row>
    <row r="32" spans="2:6" ht="13.5" thickBot="1">
      <c r="B32" s="208" t="s">
        <v>108</v>
      </c>
      <c r="C32" s="209">
        <f>C22+C30</f>
        <v>0.19435</v>
      </c>
      <c r="D32" s="209">
        <f>D22+D30</f>
        <v>0.303</v>
      </c>
      <c r="E32" s="232">
        <f>E22+E30</f>
        <v>0</v>
      </c>
      <c r="F32" s="211">
        <f>F22+F30</f>
        <v>0</v>
      </c>
    </row>
    <row r="33" spans="2:6" ht="15.75" thickBot="1">
      <c r="B33" s="191" t="s">
        <v>109</v>
      </c>
      <c r="C33" s="212"/>
      <c r="D33" s="192"/>
      <c r="E33" s="192"/>
      <c r="F33" s="194"/>
    </row>
    <row r="34" spans="2:6" ht="12.75">
      <c r="B34" s="195" t="s">
        <v>110</v>
      </c>
      <c r="C34" s="213"/>
      <c r="D34" s="214">
        <f>C34</f>
        <v>0</v>
      </c>
      <c r="E34" s="215">
        <f>E8*C34</f>
        <v>0</v>
      </c>
      <c r="F34" s="216">
        <f>F8*D34</f>
        <v>0</v>
      </c>
    </row>
    <row r="35" spans="2:6" ht="13.5" thickBot="1">
      <c r="B35" s="204" t="s">
        <v>111</v>
      </c>
      <c r="C35" s="205"/>
      <c r="D35" s="220">
        <f>C35</f>
        <v>0</v>
      </c>
      <c r="E35" s="221">
        <f>E8*C35</f>
        <v>0</v>
      </c>
      <c r="F35" s="222">
        <f>F8*D35</f>
        <v>0</v>
      </c>
    </row>
    <row r="36" spans="2:6" ht="15.75" thickBot="1">
      <c r="B36" s="233" t="s">
        <v>112</v>
      </c>
      <c r="C36" s="234"/>
      <c r="D36" s="234"/>
      <c r="E36" s="234"/>
      <c r="F36" s="235"/>
    </row>
    <row r="37" spans="2:6" ht="12.75">
      <c r="B37" s="195" t="s">
        <v>113</v>
      </c>
      <c r="C37" s="213"/>
      <c r="D37" s="214">
        <f>C37</f>
        <v>0</v>
      </c>
      <c r="E37" s="215">
        <f>E8*C37</f>
        <v>0</v>
      </c>
      <c r="F37" s="216">
        <f>F8*D37</f>
        <v>0</v>
      </c>
    </row>
    <row r="38" spans="2:6" ht="13.5" thickBot="1">
      <c r="B38" s="204" t="s">
        <v>114</v>
      </c>
      <c r="C38" s="205"/>
      <c r="D38" s="220">
        <f>C38</f>
        <v>0</v>
      </c>
      <c r="E38" s="218">
        <f>E8*C38</f>
        <v>0</v>
      </c>
      <c r="F38" s="219">
        <f>F8*D38</f>
        <v>0</v>
      </c>
    </row>
    <row r="39" spans="2:6" ht="13.5" thickBot="1">
      <c r="B39" s="208" t="s">
        <v>115</v>
      </c>
      <c r="C39" s="209">
        <f>C8+C32+C34+C35+C37+C38</f>
        <v>1.19435</v>
      </c>
      <c r="D39" s="209">
        <f>D8+D32+D34+D35+D37+D38</f>
        <v>1.303</v>
      </c>
      <c r="E39" s="236">
        <f>E8+E32+E34+E35+E37+E38</f>
        <v>0</v>
      </c>
      <c r="F39" s="237">
        <f>F8+F32+F34+F35+F37+F38</f>
        <v>0</v>
      </c>
    </row>
    <row r="40" spans="2:6" ht="15.75" thickBot="1">
      <c r="B40" s="191" t="s">
        <v>116</v>
      </c>
      <c r="C40" s="192"/>
      <c r="D40" s="192"/>
      <c r="E40" s="192"/>
      <c r="F40" s="194"/>
    </row>
    <row r="41" spans="2:6" ht="12.75">
      <c r="B41" s="195" t="s">
        <v>117</v>
      </c>
      <c r="C41" s="213"/>
      <c r="D41" s="214">
        <f>C41</f>
        <v>0</v>
      </c>
      <c r="E41" s="215">
        <f>E8*C41</f>
        <v>0</v>
      </c>
      <c r="F41" s="216">
        <f>F8*D41</f>
        <v>0</v>
      </c>
    </row>
    <row r="42" spans="2:6" ht="12.75">
      <c r="B42" s="187" t="s">
        <v>118</v>
      </c>
      <c r="C42" s="201"/>
      <c r="D42" s="217">
        <f>C42</f>
        <v>0</v>
      </c>
      <c r="E42" s="218">
        <f>E8*C42</f>
        <v>0</v>
      </c>
      <c r="F42" s="219">
        <f>F8*D42</f>
        <v>0</v>
      </c>
    </row>
    <row r="43" spans="2:6" ht="12.75">
      <c r="B43" s="187" t="s">
        <v>119</v>
      </c>
      <c r="C43" s="201"/>
      <c r="D43" s="217">
        <f>C43</f>
        <v>0</v>
      </c>
      <c r="E43" s="218">
        <f>E8*C43</f>
        <v>0</v>
      </c>
      <c r="F43" s="219">
        <f>F8*D43</f>
        <v>0</v>
      </c>
    </row>
    <row r="44" spans="2:6" ht="12.75">
      <c r="B44" s="187" t="s">
        <v>120</v>
      </c>
      <c r="C44" s="201"/>
      <c r="D44" s="217">
        <f>C44</f>
        <v>0</v>
      </c>
      <c r="E44" s="218">
        <f>E8*C44</f>
        <v>0</v>
      </c>
      <c r="F44" s="219">
        <f>F8*D44</f>
        <v>0</v>
      </c>
    </row>
    <row r="45" spans="2:6" ht="13.5" thickBot="1">
      <c r="B45" s="204" t="s">
        <v>121</v>
      </c>
      <c r="C45" s="205"/>
      <c r="D45" s="220">
        <f>C45</f>
        <v>0</v>
      </c>
      <c r="E45" s="221">
        <f>E8*C45</f>
        <v>0</v>
      </c>
      <c r="F45" s="222">
        <f>F8*D45</f>
        <v>0</v>
      </c>
    </row>
    <row r="46" spans="2:7" ht="13.5" thickBot="1">
      <c r="B46" s="238" t="s">
        <v>122</v>
      </c>
      <c r="C46" s="239">
        <f>SUM(C41:C45)</f>
        <v>0</v>
      </c>
      <c r="D46" s="239">
        <f>SUM(D41:D45)</f>
        <v>0</v>
      </c>
      <c r="E46" s="236">
        <f>SUM(E41:E45)</f>
        <v>0</v>
      </c>
      <c r="F46" s="237">
        <f>SUM(F41:F45)</f>
        <v>0</v>
      </c>
      <c r="G46" s="9"/>
    </row>
    <row r="47" spans="2:6" ht="15.75" thickBot="1">
      <c r="B47" s="233" t="s">
        <v>123</v>
      </c>
      <c r="C47" s="240">
        <f>C46+C39</f>
        <v>1.19435</v>
      </c>
      <c r="D47" s="239">
        <f>D46+D39</f>
        <v>1.303</v>
      </c>
      <c r="E47" s="241">
        <f>E39+E46</f>
        <v>0</v>
      </c>
      <c r="F47" s="242">
        <f>F39+F46</f>
        <v>0</v>
      </c>
    </row>
    <row r="48" spans="2:6" ht="12.75">
      <c r="B48" s="664"/>
      <c r="C48" s="665"/>
      <c r="D48" s="665"/>
      <c r="E48" s="665"/>
      <c r="F48" s="666"/>
    </row>
    <row r="49" spans="2:11" ht="12.75">
      <c r="B49" s="183" t="s">
        <v>124</v>
      </c>
      <c r="C49" s="201"/>
      <c r="D49" s="243">
        <f>C49</f>
        <v>0</v>
      </c>
      <c r="E49" s="244">
        <f>E47*C49</f>
        <v>0</v>
      </c>
      <c r="F49" s="245">
        <f>F47*D49</f>
        <v>0</v>
      </c>
      <c r="H49" s="9"/>
      <c r="I49" s="9"/>
      <c r="J49" s="9"/>
      <c r="K49" s="9"/>
    </row>
    <row r="50" spans="2:11" ht="12.75">
      <c r="B50" s="183" t="s">
        <v>125</v>
      </c>
      <c r="C50" s="243">
        <f>C47+C49</f>
        <v>1.19435</v>
      </c>
      <c r="D50" s="243">
        <f>D47+D49</f>
        <v>1.303</v>
      </c>
      <c r="E50" s="244">
        <f>SUM(E47:E49)</f>
        <v>0</v>
      </c>
      <c r="F50" s="245">
        <f>SUM(F47:F49)</f>
        <v>0</v>
      </c>
      <c r="G50" s="9"/>
      <c r="H50" s="9"/>
      <c r="I50" s="9"/>
      <c r="J50" s="9"/>
      <c r="K50" s="9"/>
    </row>
    <row r="51" spans="2:6" ht="13.5" thickBot="1">
      <c r="B51" s="183" t="s">
        <v>126</v>
      </c>
      <c r="C51" s="243"/>
      <c r="D51" s="243"/>
      <c r="E51" s="244">
        <f>E50</f>
        <v>0</v>
      </c>
      <c r="F51" s="245">
        <f>F50</f>
        <v>0</v>
      </c>
    </row>
    <row r="52" spans="2:6" ht="13.5" thickBot="1">
      <c r="B52" s="238" t="s">
        <v>127</v>
      </c>
      <c r="C52" s="239" t="e">
        <f>E52/E51</f>
        <v>#DIV/0!</v>
      </c>
      <c r="D52" s="239" t="e">
        <f>F52/F51</f>
        <v>#DIV/0!</v>
      </c>
      <c r="E52" s="246">
        <f>E39</f>
        <v>0</v>
      </c>
      <c r="F52" s="237">
        <f>F39</f>
        <v>0</v>
      </c>
    </row>
    <row r="53" spans="2:6" ht="12.75">
      <c r="B53" s="681"/>
      <c r="C53" s="682"/>
      <c r="D53" s="682"/>
      <c r="E53" s="682"/>
      <c r="F53" s="683"/>
    </row>
    <row r="54" spans="2:6" ht="18.75" thickBot="1">
      <c r="B54" s="187"/>
      <c r="C54" s="247" t="s">
        <v>128</v>
      </c>
      <c r="D54" s="247" t="s">
        <v>129</v>
      </c>
      <c r="E54" s="248" t="s">
        <v>130</v>
      </c>
      <c r="F54" s="194"/>
    </row>
    <row r="55" spans="2:6" ht="24" thickBot="1" thickTop="1">
      <c r="B55" s="249" t="s">
        <v>131</v>
      </c>
      <c r="C55" s="250">
        <v>100</v>
      </c>
      <c r="D55" s="250">
        <v>0</v>
      </c>
      <c r="E55" s="251">
        <f>C55%+D55%</f>
        <v>1</v>
      </c>
      <c r="F55" s="194"/>
    </row>
    <row r="56" spans="2:6" ht="14.25" thickBot="1" thickTop="1">
      <c r="B56" s="664"/>
      <c r="C56" s="665"/>
      <c r="D56" s="665"/>
      <c r="E56" s="665"/>
      <c r="F56" s="666"/>
    </row>
    <row r="57" spans="2:6" ht="16.5" thickBot="1" thickTop="1">
      <c r="B57" s="255" t="s">
        <v>132</v>
      </c>
      <c r="C57" s="256">
        <f>(E51*C55+F51*D55)/100</f>
        <v>0</v>
      </c>
      <c r="D57" s="192"/>
      <c r="E57" s="192"/>
      <c r="F57" s="254"/>
    </row>
    <row r="58" spans="2:6" ht="13.5" thickTop="1">
      <c r="B58" s="187"/>
      <c r="C58" s="257"/>
      <c r="D58" s="257"/>
      <c r="E58" s="192"/>
      <c r="F58" s="194"/>
    </row>
    <row r="59" spans="2:6" ht="12.75">
      <c r="B59" s="258" t="s">
        <v>133</v>
      </c>
      <c r="C59" s="3"/>
      <c r="D59" s="182"/>
      <c r="E59" s="3"/>
      <c r="F59" s="259"/>
    </row>
    <row r="60" spans="2:6" ht="12.75">
      <c r="B60" s="260" t="s">
        <v>134</v>
      </c>
      <c r="C60" s="3"/>
      <c r="D60" s="182"/>
      <c r="E60" s="3"/>
      <c r="F60" s="259"/>
    </row>
    <row r="61" spans="1:6" ht="12.75">
      <c r="A61" s="1"/>
      <c r="B61" s="260" t="s">
        <v>532</v>
      </c>
      <c r="C61" s="3"/>
      <c r="D61" s="182"/>
      <c r="E61" s="3"/>
      <c r="F61" s="259"/>
    </row>
    <row r="62" spans="2:6" ht="13.5" thickBot="1">
      <c r="B62" s="21"/>
      <c r="C62" s="22"/>
      <c r="D62" s="261"/>
      <c r="E62" s="22"/>
      <c r="F62" s="262"/>
    </row>
  </sheetData>
  <sheetProtection/>
  <protectedRanges>
    <protectedRange sqref="C19" name="Bereich 05 Sozialversicherung_2_1"/>
    <protectedRange sqref="C55:D55" name="Bereich 11 SV   GV  Zusammensetzung_1_1"/>
    <protectedRange sqref="C10:C17" name="Bereich 05 Sozialversicherung_1_1_1"/>
  </protectedRanges>
  <mergeCells count="14">
    <mergeCell ref="B1:F3"/>
    <mergeCell ref="B4:F4"/>
    <mergeCell ref="B5:F5"/>
    <mergeCell ref="E10:E11"/>
    <mergeCell ref="F10:F11"/>
    <mergeCell ref="E12:E13"/>
    <mergeCell ref="F12:F13"/>
    <mergeCell ref="B56:F56"/>
    <mergeCell ref="E14:E15"/>
    <mergeCell ref="E16:E17"/>
    <mergeCell ref="E18:E19"/>
    <mergeCell ref="F18:F19"/>
    <mergeCell ref="B48:F48"/>
    <mergeCell ref="B53:F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3"/>
  <headerFooter alignWithMargins="0">
    <oddHeader>&amp;LGemeinde Gingen a.d.F&amp;C&amp;A&amp;REU-Ausschreibung Gebäudereinigung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K62"/>
  <sheetViews>
    <sheetView zoomScale="80" zoomScaleNormal="80" zoomScaleSheetLayoutView="100" workbookViewId="0" topLeftCell="A1">
      <selection activeCell="E8" sqref="E8"/>
    </sheetView>
  </sheetViews>
  <sheetFormatPr defaultColWidth="11.421875" defaultRowHeight="12.75"/>
  <cols>
    <col min="1" max="1" width="4.421875" style="0" bestFit="1" customWidth="1"/>
    <col min="2" max="2" width="55.8515625" style="0" customWidth="1"/>
    <col min="3" max="3" width="13.140625" style="0" bestFit="1" customWidth="1"/>
    <col min="4" max="4" width="11.421875" style="13" customWidth="1"/>
    <col min="5" max="5" width="13.57421875" style="0" customWidth="1"/>
    <col min="6" max="6" width="14.140625" style="0" customWidth="1"/>
    <col min="7" max="7" width="13.140625" style="0" customWidth="1"/>
  </cols>
  <sheetData>
    <row r="1" spans="1:6" ht="27.75" customHeight="1">
      <c r="A1" s="57"/>
      <c r="B1" s="669" t="s">
        <v>522</v>
      </c>
      <c r="C1" s="670"/>
      <c r="D1" s="670"/>
      <c r="E1" s="670"/>
      <c r="F1" s="671"/>
    </row>
    <row r="2" spans="1:6" ht="21" customHeight="1">
      <c r="A2" s="58"/>
      <c r="B2" s="672"/>
      <c r="C2" s="673"/>
      <c r="D2" s="673"/>
      <c r="E2" s="673"/>
      <c r="F2" s="674"/>
    </row>
    <row r="3" spans="2:6" ht="33" customHeight="1">
      <c r="B3" s="672"/>
      <c r="C3" s="673"/>
      <c r="D3" s="673"/>
      <c r="E3" s="673"/>
      <c r="F3" s="674"/>
    </row>
    <row r="4" spans="2:6" ht="15">
      <c r="B4" s="675" t="s">
        <v>79</v>
      </c>
      <c r="C4" s="676"/>
      <c r="D4" s="676"/>
      <c r="E4" s="676"/>
      <c r="F4" s="677"/>
    </row>
    <row r="5" spans="2:6" ht="12.75">
      <c r="B5" s="678"/>
      <c r="C5" s="679"/>
      <c r="D5" s="679"/>
      <c r="E5" s="679"/>
      <c r="F5" s="680"/>
    </row>
    <row r="6" spans="2:6" ht="12.75">
      <c r="B6" s="183"/>
      <c r="C6" s="184" t="s">
        <v>80</v>
      </c>
      <c r="D6" s="184" t="s">
        <v>81</v>
      </c>
      <c r="E6" s="185" t="s">
        <v>82</v>
      </c>
      <c r="F6" s="186" t="s">
        <v>83</v>
      </c>
    </row>
    <row r="7" spans="2:6" ht="13.5" thickBot="1">
      <c r="B7" s="183" t="s">
        <v>84</v>
      </c>
      <c r="C7" s="184" t="s">
        <v>85</v>
      </c>
      <c r="D7" s="184" t="s">
        <v>85</v>
      </c>
      <c r="E7" s="185" t="s">
        <v>86</v>
      </c>
      <c r="F7" s="186" t="s">
        <v>86</v>
      </c>
    </row>
    <row r="8" spans="2:7" ht="15.75" customHeight="1" thickBot="1">
      <c r="B8" s="187" t="s">
        <v>469</v>
      </c>
      <c r="C8" s="188">
        <v>1</v>
      </c>
      <c r="D8" s="188">
        <v>1</v>
      </c>
      <c r="E8" s="189"/>
      <c r="F8" s="189">
        <f>E8</f>
        <v>0</v>
      </c>
      <c r="G8" s="190"/>
    </row>
    <row r="9" spans="2:6" ht="15.75" thickBot="1">
      <c r="B9" s="191" t="s">
        <v>87</v>
      </c>
      <c r="C9" s="192"/>
      <c r="D9" s="192"/>
      <c r="E9" s="193"/>
      <c r="F9" s="194"/>
    </row>
    <row r="10" spans="2:6" ht="12.75">
      <c r="B10" s="195" t="s">
        <v>88</v>
      </c>
      <c r="C10" s="471">
        <v>0.093</v>
      </c>
      <c r="D10" s="472">
        <v>0.15</v>
      </c>
      <c r="E10" s="662">
        <f>E8*SUM(C10+C11)</f>
        <v>0</v>
      </c>
      <c r="F10" s="667">
        <f>F8*SUM(D10+D11)</f>
        <v>0</v>
      </c>
    </row>
    <row r="11" spans="2:6" ht="13.5" thickBot="1">
      <c r="B11" s="187" t="s">
        <v>89</v>
      </c>
      <c r="C11" s="473">
        <f>C30*C10</f>
        <v>0</v>
      </c>
      <c r="D11" s="474">
        <f>C30*D10</f>
        <v>0</v>
      </c>
      <c r="E11" s="663"/>
      <c r="F11" s="668"/>
    </row>
    <row r="12" spans="2:6" ht="12.75">
      <c r="B12" s="196" t="s">
        <v>90</v>
      </c>
      <c r="C12" s="471">
        <v>0.0736</v>
      </c>
      <c r="D12" s="472">
        <v>0.1306</v>
      </c>
      <c r="E12" s="662">
        <f>E8*SUM(C12+C13)</f>
        <v>0</v>
      </c>
      <c r="F12" s="667">
        <f>F8*SUM(D12+D13)</f>
        <v>0</v>
      </c>
    </row>
    <row r="13" spans="2:6" ht="13.5" thickBot="1">
      <c r="B13" s="196" t="s">
        <v>91</v>
      </c>
      <c r="C13" s="473">
        <f>C30*C12</f>
        <v>0</v>
      </c>
      <c r="D13" s="474">
        <f>C30*D12</f>
        <v>0</v>
      </c>
      <c r="E13" s="663"/>
      <c r="F13" s="668"/>
    </row>
    <row r="14" spans="2:6" ht="12.75">
      <c r="B14" s="187" t="s">
        <v>92</v>
      </c>
      <c r="C14" s="471">
        <v>0.015</v>
      </c>
      <c r="D14" s="197"/>
      <c r="E14" s="662">
        <f>E8*SUM(C14+C15)</f>
        <v>0</v>
      </c>
      <c r="F14" s="198"/>
    </row>
    <row r="15" spans="2:6" ht="13.5" thickBot="1">
      <c r="B15" s="187" t="s">
        <v>93</v>
      </c>
      <c r="C15" s="473">
        <f>C30*C14</f>
        <v>0</v>
      </c>
      <c r="D15" s="197"/>
      <c r="E15" s="663"/>
      <c r="F15" s="198"/>
    </row>
    <row r="16" spans="2:6" ht="12.75">
      <c r="B16" s="196" t="s">
        <v>94</v>
      </c>
      <c r="C16" s="475">
        <v>0.01275</v>
      </c>
      <c r="D16" s="197">
        <v>0.02</v>
      </c>
      <c r="E16" s="662">
        <f>E8*SUM(C16+C17)</f>
        <v>0</v>
      </c>
      <c r="F16" s="199">
        <f>F8*D16</f>
        <v>0</v>
      </c>
    </row>
    <row r="17" spans="2:6" ht="13.5" thickBot="1">
      <c r="B17" s="196" t="s">
        <v>95</v>
      </c>
      <c r="C17" s="473">
        <f>C30*C16</f>
        <v>0</v>
      </c>
      <c r="D17" s="197"/>
      <c r="E17" s="663"/>
      <c r="F17" s="199"/>
    </row>
    <row r="18" spans="2:6" ht="12.75">
      <c r="B18" s="187" t="s">
        <v>465</v>
      </c>
      <c r="C18" s="476"/>
      <c r="D18" s="200">
        <v>0.0024</v>
      </c>
      <c r="E18" s="662">
        <f>E8*SUM(C18+C19)</f>
        <v>0</v>
      </c>
      <c r="F18" s="667">
        <f>F8*SUM(D18+D19)</f>
        <v>0</v>
      </c>
    </row>
    <row r="19" spans="2:6" ht="13.5" thickBot="1">
      <c r="B19" s="187" t="s">
        <v>96</v>
      </c>
      <c r="C19" s="473">
        <f>C30*C18</f>
        <v>0</v>
      </c>
      <c r="D19" s="200">
        <f>C30*D18</f>
        <v>0</v>
      </c>
      <c r="E19" s="663"/>
      <c r="F19" s="668"/>
    </row>
    <row r="20" spans="2:6" ht="12.75">
      <c r="B20" s="187" t="s">
        <v>97</v>
      </c>
      <c r="C20" s="476"/>
      <c r="D20" s="200">
        <f>C20</f>
        <v>0</v>
      </c>
      <c r="E20" s="202">
        <f>E8*C20</f>
        <v>0</v>
      </c>
      <c r="F20" s="203">
        <f>F8*D20</f>
        <v>0</v>
      </c>
    </row>
    <row r="21" spans="2:6" ht="13.5" thickBot="1">
      <c r="B21" s="204" t="s">
        <v>98</v>
      </c>
      <c r="C21" s="205"/>
      <c r="D21" s="477">
        <f>C21</f>
        <v>0</v>
      </c>
      <c r="E21" s="206">
        <f>E8*C21</f>
        <v>0</v>
      </c>
      <c r="F21" s="207">
        <f>F8*D21</f>
        <v>0</v>
      </c>
    </row>
    <row r="22" spans="2:6" ht="13.5" thickBot="1">
      <c r="B22" s="208" t="s">
        <v>99</v>
      </c>
      <c r="C22" s="209">
        <f>SUM(C10:C21)</f>
        <v>0.19435</v>
      </c>
      <c r="D22" s="209">
        <f>SUM(D10:D21)</f>
        <v>0.303</v>
      </c>
      <c r="E22" s="210">
        <f>E10+E12+E14+E16+E18+E20+E21</f>
        <v>0</v>
      </c>
      <c r="F22" s="211">
        <f>F10+F12+F16+F18+F20+F21</f>
        <v>0</v>
      </c>
    </row>
    <row r="23" spans="2:6" ht="15.75" thickBot="1">
      <c r="B23" s="191" t="s">
        <v>100</v>
      </c>
      <c r="C23" s="212"/>
      <c r="D23" s="192"/>
      <c r="E23" s="192"/>
      <c r="F23" s="194"/>
    </row>
    <row r="24" spans="2:6" ht="12.75">
      <c r="B24" s="195" t="s">
        <v>101</v>
      </c>
      <c r="C24" s="213"/>
      <c r="D24" s="214">
        <f aca="true" t="shared" si="0" ref="D24:D29">C24</f>
        <v>0</v>
      </c>
      <c r="E24" s="215">
        <f>E8*C24</f>
        <v>0</v>
      </c>
      <c r="F24" s="216">
        <f>F8*D24</f>
        <v>0</v>
      </c>
    </row>
    <row r="25" spans="2:6" ht="12.75">
      <c r="B25" s="187" t="s">
        <v>102</v>
      </c>
      <c r="C25" s="201"/>
      <c r="D25" s="217">
        <f t="shared" si="0"/>
        <v>0</v>
      </c>
      <c r="E25" s="218">
        <f>E8*C25</f>
        <v>0</v>
      </c>
      <c r="F25" s="219">
        <f>F8*C25</f>
        <v>0</v>
      </c>
    </row>
    <row r="26" spans="2:6" ht="12.75">
      <c r="B26" s="187" t="s">
        <v>103</v>
      </c>
      <c r="C26" s="201"/>
      <c r="D26" s="217">
        <f t="shared" si="0"/>
        <v>0</v>
      </c>
      <c r="E26" s="218">
        <f>E8*C26</f>
        <v>0</v>
      </c>
      <c r="F26" s="219">
        <f>F8*D26</f>
        <v>0</v>
      </c>
    </row>
    <row r="27" spans="2:6" ht="12.75">
      <c r="B27" s="187" t="s">
        <v>104</v>
      </c>
      <c r="C27" s="478"/>
      <c r="D27" s="217">
        <f t="shared" si="0"/>
        <v>0</v>
      </c>
      <c r="E27" s="218">
        <f>E8*C27</f>
        <v>0</v>
      </c>
      <c r="F27" s="219">
        <f>F8*D27</f>
        <v>0</v>
      </c>
    </row>
    <row r="28" spans="2:6" ht="12.75">
      <c r="B28" s="187" t="s">
        <v>105</v>
      </c>
      <c r="C28" s="201"/>
      <c r="D28" s="217">
        <f t="shared" si="0"/>
        <v>0</v>
      </c>
      <c r="E28" s="218">
        <f>E8*C28</f>
        <v>0</v>
      </c>
      <c r="F28" s="219">
        <f>F8*D28</f>
        <v>0</v>
      </c>
    </row>
    <row r="29" spans="2:6" ht="13.5" thickBot="1">
      <c r="B29" s="208" t="s">
        <v>106</v>
      </c>
      <c r="C29" s="205"/>
      <c r="D29" s="220">
        <f t="shared" si="0"/>
        <v>0</v>
      </c>
      <c r="E29" s="221">
        <f>E8*C29</f>
        <v>0</v>
      </c>
      <c r="F29" s="222">
        <f>F8*D29</f>
        <v>0</v>
      </c>
    </row>
    <row r="30" spans="2:6" ht="12.75">
      <c r="B30" s="223" t="s">
        <v>107</v>
      </c>
      <c r="C30" s="224">
        <f>SUM(C24:C29)</f>
        <v>0</v>
      </c>
      <c r="D30" s="225">
        <f>SUM(D24:D29)</f>
        <v>0</v>
      </c>
      <c r="E30" s="226">
        <f>SUM(E24:E29)</f>
        <v>0</v>
      </c>
      <c r="F30" s="227">
        <f>SUM(F24:F29)</f>
        <v>0</v>
      </c>
    </row>
    <row r="31" spans="2:6" ht="12.75">
      <c r="B31" s="228"/>
      <c r="C31" s="229"/>
      <c r="D31" s="229"/>
      <c r="E31" s="230"/>
      <c r="F31" s="231"/>
    </row>
    <row r="32" spans="2:6" ht="13.5" thickBot="1">
      <c r="B32" s="208" t="s">
        <v>108</v>
      </c>
      <c r="C32" s="209">
        <f>C22+C30</f>
        <v>0.19435</v>
      </c>
      <c r="D32" s="209">
        <f>D22+D30</f>
        <v>0.303</v>
      </c>
      <c r="E32" s="232">
        <f>E22+E30</f>
        <v>0</v>
      </c>
      <c r="F32" s="211">
        <f>F22+F30</f>
        <v>0</v>
      </c>
    </row>
    <row r="33" spans="2:6" ht="15.75" thickBot="1">
      <c r="B33" s="191" t="s">
        <v>109</v>
      </c>
      <c r="C33" s="212"/>
      <c r="D33" s="192"/>
      <c r="E33" s="192"/>
      <c r="F33" s="194"/>
    </row>
    <row r="34" spans="2:6" ht="12.75">
      <c r="B34" s="195" t="s">
        <v>110</v>
      </c>
      <c r="C34" s="213"/>
      <c r="D34" s="214">
        <f>C34</f>
        <v>0</v>
      </c>
      <c r="E34" s="215">
        <f>E8*C34</f>
        <v>0</v>
      </c>
      <c r="F34" s="216">
        <f>F8*D34</f>
        <v>0</v>
      </c>
    </row>
    <row r="35" spans="2:6" ht="13.5" thickBot="1">
      <c r="B35" s="204" t="s">
        <v>111</v>
      </c>
      <c r="C35" s="205"/>
      <c r="D35" s="220">
        <f>C35</f>
        <v>0</v>
      </c>
      <c r="E35" s="221">
        <f>E8*C35</f>
        <v>0</v>
      </c>
      <c r="F35" s="222">
        <f>F8*D35</f>
        <v>0</v>
      </c>
    </row>
    <row r="36" spans="2:6" ht="15.75" thickBot="1">
      <c r="B36" s="233" t="s">
        <v>112</v>
      </c>
      <c r="C36" s="234"/>
      <c r="D36" s="234"/>
      <c r="E36" s="234"/>
      <c r="F36" s="235"/>
    </row>
    <row r="37" spans="2:6" ht="12.75">
      <c r="B37" s="195" t="s">
        <v>113</v>
      </c>
      <c r="C37" s="213"/>
      <c r="D37" s="214">
        <f>C37</f>
        <v>0</v>
      </c>
      <c r="E37" s="215">
        <f>E8*C37</f>
        <v>0</v>
      </c>
      <c r="F37" s="216">
        <f>F8*D37</f>
        <v>0</v>
      </c>
    </row>
    <row r="38" spans="2:6" ht="13.5" thickBot="1">
      <c r="B38" s="204" t="s">
        <v>114</v>
      </c>
      <c r="C38" s="205"/>
      <c r="D38" s="220">
        <f>C38</f>
        <v>0</v>
      </c>
      <c r="E38" s="218">
        <f>E8*C38</f>
        <v>0</v>
      </c>
      <c r="F38" s="219">
        <f>F8*D38</f>
        <v>0</v>
      </c>
    </row>
    <row r="39" spans="2:6" ht="13.5" thickBot="1">
      <c r="B39" s="208" t="s">
        <v>115</v>
      </c>
      <c r="C39" s="209">
        <f>C8+C32+C34+C35+C37+C38</f>
        <v>1.19435</v>
      </c>
      <c r="D39" s="209">
        <f>D8+D32+D34+D35+D37+D38</f>
        <v>1.303</v>
      </c>
      <c r="E39" s="236">
        <f>E8+E32+E34+E35+E37+E38</f>
        <v>0</v>
      </c>
      <c r="F39" s="237">
        <f>F8+F32+F34+F35+F37+F38</f>
        <v>0</v>
      </c>
    </row>
    <row r="40" spans="2:6" ht="15.75" thickBot="1">
      <c r="B40" s="191" t="s">
        <v>116</v>
      </c>
      <c r="C40" s="192"/>
      <c r="D40" s="192"/>
      <c r="E40" s="192"/>
      <c r="F40" s="194"/>
    </row>
    <row r="41" spans="2:6" ht="12.75">
      <c r="B41" s="195" t="s">
        <v>117</v>
      </c>
      <c r="C41" s="213"/>
      <c r="D41" s="214">
        <f>C41</f>
        <v>0</v>
      </c>
      <c r="E41" s="215">
        <f>E8*C41</f>
        <v>0</v>
      </c>
      <c r="F41" s="216">
        <f>F8*D41</f>
        <v>0</v>
      </c>
    </row>
    <row r="42" spans="2:6" ht="12.75">
      <c r="B42" s="187" t="s">
        <v>118</v>
      </c>
      <c r="C42" s="201"/>
      <c r="D42" s="217">
        <f>C42</f>
        <v>0</v>
      </c>
      <c r="E42" s="218">
        <f>E8*C42</f>
        <v>0</v>
      </c>
      <c r="F42" s="219">
        <f>F8*D42</f>
        <v>0</v>
      </c>
    </row>
    <row r="43" spans="2:6" ht="12.75">
      <c r="B43" s="187" t="s">
        <v>119</v>
      </c>
      <c r="C43" s="201"/>
      <c r="D43" s="217">
        <f>C43</f>
        <v>0</v>
      </c>
      <c r="E43" s="218">
        <f>E8*C43</f>
        <v>0</v>
      </c>
      <c r="F43" s="219">
        <f>F8*D43</f>
        <v>0</v>
      </c>
    </row>
    <row r="44" spans="2:6" ht="12.75">
      <c r="B44" s="187" t="s">
        <v>120</v>
      </c>
      <c r="C44" s="201"/>
      <c r="D44" s="217">
        <f>C44</f>
        <v>0</v>
      </c>
      <c r="E44" s="218">
        <f>E8*C44</f>
        <v>0</v>
      </c>
      <c r="F44" s="219">
        <f>F8*D44</f>
        <v>0</v>
      </c>
    </row>
    <row r="45" spans="2:6" ht="13.5" thickBot="1">
      <c r="B45" s="204" t="s">
        <v>121</v>
      </c>
      <c r="C45" s="205"/>
      <c r="D45" s="220">
        <f>C45</f>
        <v>0</v>
      </c>
      <c r="E45" s="221">
        <f>E8*C45</f>
        <v>0</v>
      </c>
      <c r="F45" s="222">
        <f>F8*D45</f>
        <v>0</v>
      </c>
    </row>
    <row r="46" spans="2:7" ht="13.5" thickBot="1">
      <c r="B46" s="238" t="s">
        <v>122</v>
      </c>
      <c r="C46" s="239">
        <f>SUM(C41:C45)</f>
        <v>0</v>
      </c>
      <c r="D46" s="239">
        <f>SUM(D41:D45)</f>
        <v>0</v>
      </c>
      <c r="E46" s="236">
        <f>SUM(E41:E45)</f>
        <v>0</v>
      </c>
      <c r="F46" s="237">
        <f>SUM(F41:F45)</f>
        <v>0</v>
      </c>
      <c r="G46" s="9"/>
    </row>
    <row r="47" spans="2:6" ht="15.75" thickBot="1">
      <c r="B47" s="233" t="s">
        <v>123</v>
      </c>
      <c r="C47" s="240">
        <f>C46+C39</f>
        <v>1.19435</v>
      </c>
      <c r="D47" s="239">
        <f>D46+D39</f>
        <v>1.303</v>
      </c>
      <c r="E47" s="241">
        <f>E39+E46</f>
        <v>0</v>
      </c>
      <c r="F47" s="242">
        <f>F39+F46</f>
        <v>0</v>
      </c>
    </row>
    <row r="48" spans="2:6" ht="12.75">
      <c r="B48" s="664"/>
      <c r="C48" s="665"/>
      <c r="D48" s="665"/>
      <c r="E48" s="665"/>
      <c r="F48" s="666"/>
    </row>
    <row r="49" spans="2:11" ht="12.75">
      <c r="B49" s="183" t="s">
        <v>124</v>
      </c>
      <c r="C49" s="201"/>
      <c r="D49" s="243">
        <f>C49</f>
        <v>0</v>
      </c>
      <c r="E49" s="244">
        <f>E47*C49</f>
        <v>0</v>
      </c>
      <c r="F49" s="245">
        <f>F47*D49</f>
        <v>0</v>
      </c>
      <c r="H49" s="9"/>
      <c r="I49" s="9"/>
      <c r="J49" s="9"/>
      <c r="K49" s="9"/>
    </row>
    <row r="50" spans="2:11" ht="12.75">
      <c r="B50" s="183" t="s">
        <v>125</v>
      </c>
      <c r="C50" s="243">
        <f>C47+C49</f>
        <v>1.19435</v>
      </c>
      <c r="D50" s="243">
        <f>D47+D49</f>
        <v>1.303</v>
      </c>
      <c r="E50" s="244">
        <f>SUM(E47:E49)</f>
        <v>0</v>
      </c>
      <c r="F50" s="245">
        <f>SUM(F47:F49)</f>
        <v>0</v>
      </c>
      <c r="G50" s="9"/>
      <c r="H50" s="9"/>
      <c r="I50" s="9"/>
      <c r="J50" s="9"/>
      <c r="K50" s="9"/>
    </row>
    <row r="51" spans="2:6" ht="13.5" thickBot="1">
      <c r="B51" s="183" t="s">
        <v>126</v>
      </c>
      <c r="C51" s="243"/>
      <c r="D51" s="243"/>
      <c r="E51" s="244">
        <f>E50</f>
        <v>0</v>
      </c>
      <c r="F51" s="245">
        <f>F50</f>
        <v>0</v>
      </c>
    </row>
    <row r="52" spans="2:6" ht="13.5" thickBot="1">
      <c r="B52" s="238" t="s">
        <v>127</v>
      </c>
      <c r="C52" s="239" t="e">
        <f>E52/E51</f>
        <v>#DIV/0!</v>
      </c>
      <c r="D52" s="239" t="e">
        <f>F52/F51</f>
        <v>#DIV/0!</v>
      </c>
      <c r="E52" s="246">
        <f>E39</f>
        <v>0</v>
      </c>
      <c r="F52" s="237">
        <f>F39</f>
        <v>0</v>
      </c>
    </row>
    <row r="53" spans="2:6" ht="12.75">
      <c r="B53" s="664"/>
      <c r="C53" s="665"/>
      <c r="D53" s="665"/>
      <c r="E53" s="665"/>
      <c r="F53" s="666"/>
    </row>
    <row r="54" spans="2:6" ht="12.75">
      <c r="B54" s="228"/>
      <c r="C54" s="469"/>
      <c r="D54" s="469"/>
      <c r="E54" s="469"/>
      <c r="F54" s="470"/>
    </row>
    <row r="55" spans="2:6" ht="18.75" thickBot="1">
      <c r="B55" s="187"/>
      <c r="C55" s="247" t="s">
        <v>128</v>
      </c>
      <c r="D55" s="247" t="s">
        <v>129</v>
      </c>
      <c r="E55" s="248" t="s">
        <v>130</v>
      </c>
      <c r="F55" s="194"/>
    </row>
    <row r="56" spans="2:6" ht="24" thickBot="1" thickTop="1">
      <c r="B56" s="249" t="s">
        <v>131</v>
      </c>
      <c r="C56" s="250">
        <v>100</v>
      </c>
      <c r="D56" s="250">
        <v>0</v>
      </c>
      <c r="E56" s="251">
        <f>C56%+D56%</f>
        <v>1</v>
      </c>
      <c r="F56" s="194"/>
    </row>
    <row r="57" spans="2:6" ht="14.25" thickBot="1" thickTop="1">
      <c r="B57" s="664"/>
      <c r="C57" s="665"/>
      <c r="D57" s="665"/>
      <c r="E57" s="665"/>
      <c r="F57" s="666"/>
    </row>
    <row r="58" spans="2:6" ht="16.5" thickBot="1" thickTop="1">
      <c r="B58" s="255" t="s">
        <v>132</v>
      </c>
      <c r="C58" s="256">
        <f>(E51*C56+F51*D56)/100</f>
        <v>0</v>
      </c>
      <c r="D58" s="192"/>
      <c r="E58" s="192"/>
      <c r="F58" s="254"/>
    </row>
    <row r="59" spans="2:6" ht="13.5" thickTop="1">
      <c r="B59" s="187"/>
      <c r="C59" s="257"/>
      <c r="D59" s="257"/>
      <c r="E59" s="192"/>
      <c r="F59" s="194"/>
    </row>
    <row r="60" spans="2:6" ht="12.75">
      <c r="B60" s="258" t="s">
        <v>133</v>
      </c>
      <c r="C60" s="3"/>
      <c r="D60" s="182"/>
      <c r="E60" s="3"/>
      <c r="F60" s="259"/>
    </row>
    <row r="61" spans="2:6" ht="12.75">
      <c r="B61" s="260" t="s">
        <v>134</v>
      </c>
      <c r="C61" s="3"/>
      <c r="D61" s="182"/>
      <c r="E61" s="3"/>
      <c r="F61" s="259"/>
    </row>
    <row r="62" spans="2:6" ht="13.5" thickBot="1">
      <c r="B62" s="21"/>
      <c r="C62" s="22"/>
      <c r="D62" s="261"/>
      <c r="E62" s="22"/>
      <c r="F62" s="262"/>
    </row>
  </sheetData>
  <sheetProtection/>
  <protectedRanges>
    <protectedRange sqref="C19" name="Bereich 05 Sozialversicherung_2_1_2"/>
    <protectedRange sqref="C56:D56" name="Bereich 11 SV   GV  Zusammensetzung_1_1_2"/>
    <protectedRange sqref="C10:C17" name="Bereich 05 Sozialversicherung_1_1_1_2"/>
  </protectedRanges>
  <mergeCells count="14">
    <mergeCell ref="B1:F3"/>
    <mergeCell ref="B4:F4"/>
    <mergeCell ref="B5:F5"/>
    <mergeCell ref="E10:E11"/>
    <mergeCell ref="F10:F11"/>
    <mergeCell ref="E18:E19"/>
    <mergeCell ref="F18:F19"/>
    <mergeCell ref="B48:F48"/>
    <mergeCell ref="B53:F53"/>
    <mergeCell ref="B57:F57"/>
    <mergeCell ref="E12:E13"/>
    <mergeCell ref="F12:F13"/>
    <mergeCell ref="E14:E15"/>
    <mergeCell ref="E16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3"/>
  <headerFooter alignWithMargins="0">
    <oddHeader>&amp;LGemeinde Gingen a.d.F.&amp;C&amp;A&amp;REU-Ausschreibung Gebäudereinigung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L62"/>
  <sheetViews>
    <sheetView zoomScale="80" zoomScaleNormal="80" zoomScaleSheetLayoutView="100" workbookViewId="0" topLeftCell="A1">
      <selection activeCell="H20" sqref="H20"/>
    </sheetView>
  </sheetViews>
  <sheetFormatPr defaultColWidth="11.421875" defaultRowHeight="12.75"/>
  <cols>
    <col min="1" max="1" width="4.421875" style="0" bestFit="1" customWidth="1"/>
    <col min="2" max="2" width="55.8515625" style="0" customWidth="1"/>
    <col min="3" max="3" width="13.140625" style="0" bestFit="1" customWidth="1"/>
    <col min="4" max="4" width="11.421875" style="13" customWidth="1"/>
    <col min="5" max="5" width="13.57421875" style="0" customWidth="1"/>
    <col min="6" max="6" width="14.140625" style="0" customWidth="1"/>
  </cols>
  <sheetData>
    <row r="1" spans="1:6" ht="27.75" customHeight="1">
      <c r="A1" s="57"/>
      <c r="B1" s="669" t="s">
        <v>468</v>
      </c>
      <c r="C1" s="670"/>
      <c r="D1" s="670"/>
      <c r="E1" s="670"/>
      <c r="F1" s="671"/>
    </row>
    <row r="2" spans="1:6" ht="21" customHeight="1">
      <c r="A2" s="58"/>
      <c r="B2" s="672"/>
      <c r="C2" s="673"/>
      <c r="D2" s="673"/>
      <c r="E2" s="673"/>
      <c r="F2" s="674"/>
    </row>
    <row r="3" spans="2:6" ht="13.5" customHeight="1">
      <c r="B3" s="672"/>
      <c r="C3" s="673"/>
      <c r="D3" s="673"/>
      <c r="E3" s="673"/>
      <c r="F3" s="674"/>
    </row>
    <row r="4" spans="2:6" ht="15">
      <c r="B4" s="675" t="s">
        <v>79</v>
      </c>
      <c r="C4" s="676"/>
      <c r="D4" s="676"/>
      <c r="E4" s="676"/>
      <c r="F4" s="677"/>
    </row>
    <row r="5" spans="2:6" ht="12.75">
      <c r="B5" s="678"/>
      <c r="C5" s="679"/>
      <c r="D5" s="679"/>
      <c r="E5" s="679"/>
      <c r="F5" s="680"/>
    </row>
    <row r="6" spans="2:6" ht="12.75">
      <c r="B6" s="183"/>
      <c r="C6" s="184" t="s">
        <v>80</v>
      </c>
      <c r="D6" s="184" t="s">
        <v>81</v>
      </c>
      <c r="E6" s="185" t="s">
        <v>82</v>
      </c>
      <c r="F6" s="186" t="s">
        <v>83</v>
      </c>
    </row>
    <row r="7" spans="2:6" ht="13.5" thickBot="1">
      <c r="B7" s="183" t="s">
        <v>84</v>
      </c>
      <c r="C7" s="184" t="s">
        <v>85</v>
      </c>
      <c r="D7" s="184" t="s">
        <v>85</v>
      </c>
      <c r="E7" s="185" t="s">
        <v>86</v>
      </c>
      <c r="F7" s="186" t="s">
        <v>86</v>
      </c>
    </row>
    <row r="8" spans="2:6" ht="15.75" customHeight="1" thickBot="1">
      <c r="B8" s="187" t="s">
        <v>466</v>
      </c>
      <c r="C8" s="188">
        <v>1</v>
      </c>
      <c r="D8" s="188">
        <v>1</v>
      </c>
      <c r="E8" s="189"/>
      <c r="F8" s="189">
        <f>E8</f>
        <v>0</v>
      </c>
    </row>
    <row r="9" spans="2:6" ht="15.75" thickBot="1">
      <c r="B9" s="191" t="s">
        <v>87</v>
      </c>
      <c r="C9" s="192"/>
      <c r="D9" s="192"/>
      <c r="E9" s="193"/>
      <c r="F9" s="194"/>
    </row>
    <row r="10" spans="2:6" ht="12.75">
      <c r="B10" s="195" t="s">
        <v>88</v>
      </c>
      <c r="C10" s="471">
        <v>0.093</v>
      </c>
      <c r="D10" s="472">
        <v>0.15</v>
      </c>
      <c r="E10" s="662">
        <f>E8*SUM(C10+C11)</f>
        <v>0</v>
      </c>
      <c r="F10" s="667">
        <f>F8*SUM(D10+D11)</f>
        <v>0</v>
      </c>
    </row>
    <row r="11" spans="2:6" ht="13.5" thickBot="1">
      <c r="B11" s="187" t="s">
        <v>89</v>
      </c>
      <c r="C11" s="473">
        <f>C30*C10</f>
        <v>0</v>
      </c>
      <c r="D11" s="474">
        <f>C30*D10</f>
        <v>0</v>
      </c>
      <c r="E11" s="663"/>
      <c r="F11" s="668"/>
    </row>
    <row r="12" spans="2:6" ht="12.75">
      <c r="B12" s="196" t="s">
        <v>90</v>
      </c>
      <c r="C12" s="471">
        <v>0.0736</v>
      </c>
      <c r="D12" s="472">
        <v>0.1306</v>
      </c>
      <c r="E12" s="662">
        <f>E8*SUM(C12+C13)</f>
        <v>0</v>
      </c>
      <c r="F12" s="667">
        <f>F8*SUM(D12+D13)</f>
        <v>0</v>
      </c>
    </row>
    <row r="13" spans="2:6" ht="13.5" thickBot="1">
      <c r="B13" s="196" t="s">
        <v>91</v>
      </c>
      <c r="C13" s="473">
        <f>C30*C12</f>
        <v>0</v>
      </c>
      <c r="D13" s="474">
        <f>C30*D12</f>
        <v>0</v>
      </c>
      <c r="E13" s="663"/>
      <c r="F13" s="668"/>
    </row>
    <row r="14" spans="2:6" ht="12.75">
      <c r="B14" s="187" t="s">
        <v>92</v>
      </c>
      <c r="C14" s="471">
        <v>0.015</v>
      </c>
      <c r="D14" s="197"/>
      <c r="E14" s="662">
        <f>E8*SUM(C14+C15)</f>
        <v>0</v>
      </c>
      <c r="F14" s="198"/>
    </row>
    <row r="15" spans="2:6" ht="13.5" thickBot="1">
      <c r="B15" s="187" t="s">
        <v>93</v>
      </c>
      <c r="C15" s="473">
        <f>C30*C14</f>
        <v>0</v>
      </c>
      <c r="D15" s="197"/>
      <c r="E15" s="663"/>
      <c r="F15" s="198"/>
    </row>
    <row r="16" spans="2:6" ht="12.75">
      <c r="B16" s="196" t="s">
        <v>94</v>
      </c>
      <c r="C16" s="475">
        <v>0.01275</v>
      </c>
      <c r="D16" s="197">
        <v>0.02</v>
      </c>
      <c r="E16" s="662">
        <f>E8*SUM(C16+C17)</f>
        <v>0</v>
      </c>
      <c r="F16" s="199">
        <f>F8*D16</f>
        <v>0</v>
      </c>
    </row>
    <row r="17" spans="2:6" ht="13.5" thickBot="1">
      <c r="B17" s="196" t="s">
        <v>95</v>
      </c>
      <c r="C17" s="473">
        <f>C30*C16</f>
        <v>0</v>
      </c>
      <c r="D17" s="197"/>
      <c r="E17" s="663"/>
      <c r="F17" s="199"/>
    </row>
    <row r="18" spans="2:6" ht="12.75">
      <c r="B18" s="187" t="s">
        <v>465</v>
      </c>
      <c r="C18" s="476"/>
      <c r="D18" s="200">
        <v>0.0024</v>
      </c>
      <c r="E18" s="662">
        <f>E8*SUM(C18+C19)</f>
        <v>0</v>
      </c>
      <c r="F18" s="667">
        <f>F8*SUM(D18+D19)</f>
        <v>0</v>
      </c>
    </row>
    <row r="19" spans="2:6" ht="13.5" thickBot="1">
      <c r="B19" s="187" t="s">
        <v>96</v>
      </c>
      <c r="C19" s="473">
        <f>C30*C18</f>
        <v>0</v>
      </c>
      <c r="D19" s="200">
        <f>C30*D18</f>
        <v>0</v>
      </c>
      <c r="E19" s="663"/>
      <c r="F19" s="668"/>
    </row>
    <row r="20" spans="2:6" ht="12.75">
      <c r="B20" s="187" t="s">
        <v>97</v>
      </c>
      <c r="C20" s="476"/>
      <c r="D20" s="200">
        <f>C20</f>
        <v>0</v>
      </c>
      <c r="E20" s="202">
        <f>E8*C20</f>
        <v>0</v>
      </c>
      <c r="F20" s="203">
        <f>F8*D20</f>
        <v>0</v>
      </c>
    </row>
    <row r="21" spans="2:6" ht="13.5" thickBot="1">
      <c r="B21" s="204" t="s">
        <v>98</v>
      </c>
      <c r="C21" s="205"/>
      <c r="D21" s="477">
        <f>C21</f>
        <v>0</v>
      </c>
      <c r="E21" s="206">
        <f>E8*C21</f>
        <v>0</v>
      </c>
      <c r="F21" s="207">
        <f>F8*D21</f>
        <v>0</v>
      </c>
    </row>
    <row r="22" spans="2:6" ht="13.5" thickBot="1">
      <c r="B22" s="208" t="s">
        <v>99</v>
      </c>
      <c r="C22" s="209">
        <f>SUM(C10:C21)</f>
        <v>0.19435</v>
      </c>
      <c r="D22" s="209">
        <f>SUM(D10:D21)</f>
        <v>0.303</v>
      </c>
      <c r="E22" s="210">
        <f>E10+E12+E14+E16+E18+E20+E21</f>
        <v>0</v>
      </c>
      <c r="F22" s="211">
        <f>F10+F12+F16+F18+F20+F21</f>
        <v>0</v>
      </c>
    </row>
    <row r="23" spans="2:6" ht="15.75" thickBot="1">
      <c r="B23" s="191" t="s">
        <v>100</v>
      </c>
      <c r="C23" s="212"/>
      <c r="D23" s="192"/>
      <c r="E23" s="192"/>
      <c r="F23" s="194"/>
    </row>
    <row r="24" spans="2:6" ht="12.75">
      <c r="B24" s="195" t="s">
        <v>101</v>
      </c>
      <c r="C24" s="213"/>
      <c r="D24" s="214">
        <f aca="true" t="shared" si="0" ref="D24:D29">C24</f>
        <v>0</v>
      </c>
      <c r="E24" s="215">
        <f>E8*C24</f>
        <v>0</v>
      </c>
      <c r="F24" s="216">
        <f>F8*D24</f>
        <v>0</v>
      </c>
    </row>
    <row r="25" spans="2:6" ht="12.75">
      <c r="B25" s="187" t="s">
        <v>102</v>
      </c>
      <c r="C25" s="201"/>
      <c r="D25" s="217">
        <f t="shared" si="0"/>
        <v>0</v>
      </c>
      <c r="E25" s="218">
        <f>E8*C25</f>
        <v>0</v>
      </c>
      <c r="F25" s="219">
        <f>F8*C25</f>
        <v>0</v>
      </c>
    </row>
    <row r="26" spans="2:6" ht="12.75">
      <c r="B26" s="187" t="s">
        <v>103</v>
      </c>
      <c r="C26" s="201"/>
      <c r="D26" s="217">
        <f t="shared" si="0"/>
        <v>0</v>
      </c>
      <c r="E26" s="218">
        <f>E8*C26</f>
        <v>0</v>
      </c>
      <c r="F26" s="219">
        <f>F8*D26</f>
        <v>0</v>
      </c>
    </row>
    <row r="27" spans="2:6" ht="12.75">
      <c r="B27" s="187" t="s">
        <v>104</v>
      </c>
      <c r="C27" s="478"/>
      <c r="D27" s="217">
        <f t="shared" si="0"/>
        <v>0</v>
      </c>
      <c r="E27" s="218">
        <f>E8*C27</f>
        <v>0</v>
      </c>
      <c r="F27" s="219">
        <f>F8*D27</f>
        <v>0</v>
      </c>
    </row>
    <row r="28" spans="2:6" ht="12.75">
      <c r="B28" s="187" t="s">
        <v>105</v>
      </c>
      <c r="C28" s="201"/>
      <c r="D28" s="217">
        <f t="shared" si="0"/>
        <v>0</v>
      </c>
      <c r="E28" s="218">
        <f>E8*C28</f>
        <v>0</v>
      </c>
      <c r="F28" s="219">
        <f>F8*D28</f>
        <v>0</v>
      </c>
    </row>
    <row r="29" spans="2:6" ht="13.5" thickBot="1">
      <c r="B29" s="208" t="s">
        <v>106</v>
      </c>
      <c r="C29" s="205"/>
      <c r="D29" s="220">
        <f t="shared" si="0"/>
        <v>0</v>
      </c>
      <c r="E29" s="221">
        <f>E8*C29</f>
        <v>0</v>
      </c>
      <c r="F29" s="222">
        <f>F8*D29</f>
        <v>0</v>
      </c>
    </row>
    <row r="30" spans="2:6" ht="12.75">
      <c r="B30" s="223" t="s">
        <v>107</v>
      </c>
      <c r="C30" s="224">
        <f>SUM(C24:C29)</f>
        <v>0</v>
      </c>
      <c r="D30" s="225">
        <f>SUM(D24:D29)</f>
        <v>0</v>
      </c>
      <c r="E30" s="226">
        <f>SUM(E24:E29)</f>
        <v>0</v>
      </c>
      <c r="F30" s="227">
        <f>SUM(F24:F29)</f>
        <v>0</v>
      </c>
    </row>
    <row r="31" spans="2:6" ht="12.75">
      <c r="B31" s="228"/>
      <c r="C31" s="229"/>
      <c r="D31" s="229"/>
      <c r="E31" s="230"/>
      <c r="F31" s="231"/>
    </row>
    <row r="32" spans="2:6" ht="13.5" thickBot="1">
      <c r="B32" s="208" t="s">
        <v>108</v>
      </c>
      <c r="C32" s="209">
        <f>C22+C30</f>
        <v>0.19435</v>
      </c>
      <c r="D32" s="209">
        <f>D22+D30</f>
        <v>0.303</v>
      </c>
      <c r="E32" s="232">
        <f>E22+E30</f>
        <v>0</v>
      </c>
      <c r="F32" s="211">
        <f>F22+F30</f>
        <v>0</v>
      </c>
    </row>
    <row r="33" spans="2:6" ht="15.75" thickBot="1">
      <c r="B33" s="191" t="s">
        <v>109</v>
      </c>
      <c r="C33" s="212"/>
      <c r="D33" s="192"/>
      <c r="E33" s="192"/>
      <c r="F33" s="194"/>
    </row>
    <row r="34" spans="2:6" ht="12.75">
      <c r="B34" s="195" t="s">
        <v>110</v>
      </c>
      <c r="C34" s="213"/>
      <c r="D34" s="214">
        <f>C34</f>
        <v>0</v>
      </c>
      <c r="E34" s="215">
        <f>E8*C34</f>
        <v>0</v>
      </c>
      <c r="F34" s="216">
        <f>F8*D34</f>
        <v>0</v>
      </c>
    </row>
    <row r="35" spans="2:6" ht="13.5" thickBot="1">
      <c r="B35" s="204" t="s">
        <v>111</v>
      </c>
      <c r="C35" s="205"/>
      <c r="D35" s="220">
        <f>C35</f>
        <v>0</v>
      </c>
      <c r="E35" s="221">
        <f>E8*C35</f>
        <v>0</v>
      </c>
      <c r="F35" s="222">
        <f>F8*D35</f>
        <v>0</v>
      </c>
    </row>
    <row r="36" spans="2:6" ht="15.75" thickBot="1">
      <c r="B36" s="233" t="s">
        <v>112</v>
      </c>
      <c r="C36" s="234"/>
      <c r="D36" s="234"/>
      <c r="E36" s="234"/>
      <c r="F36" s="235"/>
    </row>
    <row r="37" spans="2:6" ht="12.75">
      <c r="B37" s="195" t="s">
        <v>113</v>
      </c>
      <c r="C37" s="213"/>
      <c r="D37" s="214">
        <f>C37</f>
        <v>0</v>
      </c>
      <c r="E37" s="215">
        <f>E8*C37</f>
        <v>0</v>
      </c>
      <c r="F37" s="216">
        <f>F8*D37</f>
        <v>0</v>
      </c>
    </row>
    <row r="38" spans="2:6" ht="13.5" thickBot="1">
      <c r="B38" s="204" t="s">
        <v>114</v>
      </c>
      <c r="C38" s="205"/>
      <c r="D38" s="220">
        <f>C38</f>
        <v>0</v>
      </c>
      <c r="E38" s="218">
        <f>E8*C38</f>
        <v>0</v>
      </c>
      <c r="F38" s="219">
        <f>F8*D38</f>
        <v>0</v>
      </c>
    </row>
    <row r="39" spans="2:6" ht="13.5" thickBot="1">
      <c r="B39" s="208" t="s">
        <v>115</v>
      </c>
      <c r="C39" s="209">
        <f>C8+C32+C34+C35+C37+C38</f>
        <v>1.19435</v>
      </c>
      <c r="D39" s="209">
        <f>D8+D32+D34+D35+D37+D38</f>
        <v>1.303</v>
      </c>
      <c r="E39" s="236">
        <f>E8+E32+E34+E35+E37+E38</f>
        <v>0</v>
      </c>
      <c r="F39" s="237">
        <f>F8+F32+F34+F35+F37+F38</f>
        <v>0</v>
      </c>
    </row>
    <row r="40" spans="2:6" ht="15.75" thickBot="1">
      <c r="B40" s="191" t="s">
        <v>116</v>
      </c>
      <c r="C40" s="192"/>
      <c r="D40" s="192"/>
      <c r="E40" s="192"/>
      <c r="F40" s="194"/>
    </row>
    <row r="41" spans="2:6" ht="12.75">
      <c r="B41" s="195" t="s">
        <v>117</v>
      </c>
      <c r="C41" s="213"/>
      <c r="D41" s="214">
        <f>C41</f>
        <v>0</v>
      </c>
      <c r="E41" s="215">
        <f>E8*C41</f>
        <v>0</v>
      </c>
      <c r="F41" s="216">
        <f>F8*D41</f>
        <v>0</v>
      </c>
    </row>
    <row r="42" spans="2:6" ht="12.75">
      <c r="B42" s="187" t="s">
        <v>118</v>
      </c>
      <c r="C42" s="201"/>
      <c r="D42" s="217">
        <f>C42</f>
        <v>0</v>
      </c>
      <c r="E42" s="218">
        <f>E8*C42</f>
        <v>0</v>
      </c>
      <c r="F42" s="219">
        <f>F8*D42</f>
        <v>0</v>
      </c>
    </row>
    <row r="43" spans="2:6" ht="12.75">
      <c r="B43" s="187" t="s">
        <v>119</v>
      </c>
      <c r="C43" s="201"/>
      <c r="D43" s="217">
        <f>C43</f>
        <v>0</v>
      </c>
      <c r="E43" s="218">
        <f>E8*C43</f>
        <v>0</v>
      </c>
      <c r="F43" s="219">
        <f>F8*D43</f>
        <v>0</v>
      </c>
    </row>
    <row r="44" spans="2:6" ht="12.75">
      <c r="B44" s="187" t="s">
        <v>120</v>
      </c>
      <c r="C44" s="201"/>
      <c r="D44" s="217">
        <f>C44</f>
        <v>0</v>
      </c>
      <c r="E44" s="218">
        <f>E8*C44</f>
        <v>0</v>
      </c>
      <c r="F44" s="219">
        <f>F8*D44</f>
        <v>0</v>
      </c>
    </row>
    <row r="45" spans="2:6" ht="13.5" thickBot="1">
      <c r="B45" s="204" t="s">
        <v>121</v>
      </c>
      <c r="C45" s="205"/>
      <c r="D45" s="220">
        <f>C45</f>
        <v>0</v>
      </c>
      <c r="E45" s="221">
        <f>E8*C45</f>
        <v>0</v>
      </c>
      <c r="F45" s="222">
        <f>F8*D45</f>
        <v>0</v>
      </c>
    </row>
    <row r="46" spans="2:7" ht="13.5" thickBot="1">
      <c r="B46" s="238" t="s">
        <v>122</v>
      </c>
      <c r="C46" s="239">
        <f>SUM(C41:C45)</f>
        <v>0</v>
      </c>
      <c r="D46" s="239">
        <f>SUM(D41:D45)</f>
        <v>0</v>
      </c>
      <c r="E46" s="236">
        <f>SUM(E41:E45)</f>
        <v>0</v>
      </c>
      <c r="F46" s="237">
        <f>SUM(F41:F45)</f>
        <v>0</v>
      </c>
      <c r="G46" s="9"/>
    </row>
    <row r="47" spans="2:6" ht="15.75" thickBot="1">
      <c r="B47" s="233" t="s">
        <v>123</v>
      </c>
      <c r="C47" s="240">
        <f>C46+C39</f>
        <v>1.19435</v>
      </c>
      <c r="D47" s="239">
        <f>D46+D39</f>
        <v>1.303</v>
      </c>
      <c r="E47" s="241">
        <f>E39+E46</f>
        <v>0</v>
      </c>
      <c r="F47" s="242">
        <f>F39+F46</f>
        <v>0</v>
      </c>
    </row>
    <row r="48" spans="2:6" ht="12.75">
      <c r="B48" s="664"/>
      <c r="C48" s="665"/>
      <c r="D48" s="665"/>
      <c r="E48" s="665"/>
      <c r="F48" s="666"/>
    </row>
    <row r="49" spans="2:12" ht="12.75">
      <c r="B49" s="183" t="s">
        <v>124</v>
      </c>
      <c r="C49" s="201"/>
      <c r="D49" s="243">
        <f>C49</f>
        <v>0</v>
      </c>
      <c r="E49" s="244">
        <f>E47*C49</f>
        <v>0</v>
      </c>
      <c r="F49" s="245">
        <f>F47*D49</f>
        <v>0</v>
      </c>
      <c r="G49" s="9"/>
      <c r="H49" s="9"/>
      <c r="I49" s="9"/>
      <c r="J49" s="9"/>
      <c r="K49" s="9"/>
      <c r="L49" s="9"/>
    </row>
    <row r="50" spans="2:6" ht="12.75">
      <c r="B50" s="183" t="s">
        <v>125</v>
      </c>
      <c r="C50" s="243">
        <f>C47+C49</f>
        <v>1.19435</v>
      </c>
      <c r="D50" s="243">
        <f>D47+D49</f>
        <v>1.303</v>
      </c>
      <c r="E50" s="244">
        <f>SUM(E47:E49)</f>
        <v>0</v>
      </c>
      <c r="F50" s="245">
        <f>SUM(F47:F49)</f>
        <v>0</v>
      </c>
    </row>
    <row r="51" spans="2:6" ht="13.5" thickBot="1">
      <c r="B51" s="183" t="s">
        <v>126</v>
      </c>
      <c r="C51" s="243"/>
      <c r="D51" s="243"/>
      <c r="E51" s="244">
        <f>E50</f>
        <v>0</v>
      </c>
      <c r="F51" s="245">
        <f>F50</f>
        <v>0</v>
      </c>
    </row>
    <row r="52" spans="2:6" ht="13.5" thickBot="1">
      <c r="B52" s="238" t="s">
        <v>127</v>
      </c>
      <c r="C52" s="239" t="e">
        <f>E52/E51</f>
        <v>#DIV/0!</v>
      </c>
      <c r="D52" s="239" t="e">
        <f>F52/F51</f>
        <v>#DIV/0!</v>
      </c>
      <c r="E52" s="246">
        <f>E39</f>
        <v>0</v>
      </c>
      <c r="F52" s="237">
        <f>F39</f>
        <v>0</v>
      </c>
    </row>
    <row r="53" spans="2:6" ht="12.75">
      <c r="B53" s="664"/>
      <c r="C53" s="665"/>
      <c r="D53" s="665"/>
      <c r="E53" s="665"/>
      <c r="F53" s="666"/>
    </row>
    <row r="54" spans="2:6" ht="18.75" thickBot="1">
      <c r="B54" s="187"/>
      <c r="C54" s="247" t="s">
        <v>128</v>
      </c>
      <c r="D54" s="247" t="s">
        <v>129</v>
      </c>
      <c r="E54" s="248" t="s">
        <v>130</v>
      </c>
      <c r="F54" s="194"/>
    </row>
    <row r="55" spans="2:6" ht="24" thickBot="1" thickTop="1">
      <c r="B55" s="249" t="s">
        <v>131</v>
      </c>
      <c r="C55" s="250">
        <v>100</v>
      </c>
      <c r="D55" s="250">
        <v>0</v>
      </c>
      <c r="E55" s="251">
        <f>C55%+D55%</f>
        <v>1</v>
      </c>
      <c r="F55" s="194"/>
    </row>
    <row r="56" spans="2:6" ht="14.25" thickBot="1" thickTop="1">
      <c r="B56" s="664"/>
      <c r="C56" s="665"/>
      <c r="D56" s="665"/>
      <c r="E56" s="665"/>
      <c r="F56" s="666"/>
    </row>
    <row r="57" spans="2:6" ht="16.5" thickBot="1" thickTop="1">
      <c r="B57" s="255" t="s">
        <v>132</v>
      </c>
      <c r="C57" s="256">
        <f>(E51*C55+F51*D55)/100</f>
        <v>0</v>
      </c>
      <c r="D57" s="192"/>
      <c r="E57" s="192"/>
      <c r="F57" s="254"/>
    </row>
    <row r="58" spans="2:6" ht="13.5" thickTop="1">
      <c r="B58" s="252" t="s">
        <v>467</v>
      </c>
      <c r="C58" s="253"/>
      <c r="D58" s="257"/>
      <c r="E58" s="192"/>
      <c r="F58" s="194"/>
    </row>
    <row r="59" spans="2:6" ht="12.75">
      <c r="B59" s="252"/>
      <c r="C59" s="253"/>
      <c r="D59" s="257"/>
      <c r="E59" s="192"/>
      <c r="F59" s="194"/>
    </row>
    <row r="60" spans="2:6" ht="12.75">
      <c r="B60" s="258" t="s">
        <v>133</v>
      </c>
      <c r="C60" s="3"/>
      <c r="D60" s="182"/>
      <c r="E60" s="3"/>
      <c r="F60" s="259"/>
    </row>
    <row r="61" spans="2:6" ht="12.75">
      <c r="B61" s="260" t="s">
        <v>134</v>
      </c>
      <c r="C61" s="3"/>
      <c r="D61" s="182"/>
      <c r="E61" s="3"/>
      <c r="F61" s="259"/>
    </row>
    <row r="62" spans="2:6" ht="13.5" thickBot="1">
      <c r="B62" s="21"/>
      <c r="C62" s="22"/>
      <c r="D62" s="261"/>
      <c r="E62" s="22"/>
      <c r="F62" s="262"/>
    </row>
  </sheetData>
  <sheetProtection/>
  <protectedRanges>
    <protectedRange sqref="C19" name="Bereich 05 Sozialversicherung_2_1"/>
    <protectedRange sqref="C55:D55" name="Bereich 11 SV   GV  Zusammensetzung_1_1"/>
    <protectedRange sqref="C10:C17" name="Bereich 05 Sozialversicherung_1_1_1"/>
  </protectedRanges>
  <mergeCells count="14">
    <mergeCell ref="B1:F3"/>
    <mergeCell ref="B4:F4"/>
    <mergeCell ref="B5:F5"/>
    <mergeCell ref="E10:E11"/>
    <mergeCell ref="F10:F11"/>
    <mergeCell ref="E12:E13"/>
    <mergeCell ref="F12:F13"/>
    <mergeCell ref="B56:F56"/>
    <mergeCell ref="E14:E15"/>
    <mergeCell ref="E16:E17"/>
    <mergeCell ref="E18:E19"/>
    <mergeCell ref="F18:F19"/>
    <mergeCell ref="B48:F48"/>
    <mergeCell ref="B53:F5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3"/>
  <headerFooter alignWithMargins="0">
    <oddHeader>&amp;LGemeinde Gingen a.d.F.&amp;C&amp;A&amp;REU-Ausschreibung Gebäudereinigung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1"/>
  <sheetViews>
    <sheetView view="pageBreakPreview" zoomScaleNormal="90" zoomScaleSheetLayoutView="100" workbookViewId="0" topLeftCell="C1">
      <selection activeCell="A84" sqref="A84"/>
    </sheetView>
  </sheetViews>
  <sheetFormatPr defaultColWidth="11.421875" defaultRowHeight="12.75"/>
  <cols>
    <col min="1" max="1" width="64.421875" style="0" customWidth="1"/>
    <col min="2" max="2" width="16.421875" style="0" customWidth="1"/>
    <col min="3" max="3" width="27.8515625" style="0" customWidth="1"/>
    <col min="4" max="4" width="12.7109375" style="0" customWidth="1"/>
    <col min="5" max="5" width="12.7109375" style="0" hidden="1" customWidth="1"/>
    <col min="6" max="6" width="9.8515625" style="0" customWidth="1"/>
    <col min="7" max="7" width="10.00390625" style="121" customWidth="1"/>
    <col min="8" max="8" width="10.140625" style="0" customWidth="1"/>
    <col min="9" max="9" width="10.8515625" style="4" customWidth="1"/>
    <col min="10" max="10" width="10.57421875" style="0" customWidth="1"/>
    <col min="11" max="11" width="13.421875" style="0" customWidth="1"/>
    <col min="12" max="12" width="13.7109375" style="0" customWidth="1"/>
    <col min="13" max="13" width="15.00390625" style="0" customWidth="1"/>
    <col min="14" max="14" width="13.00390625" style="0" customWidth="1"/>
    <col min="15" max="15" width="17.00390625" style="0" customWidth="1"/>
    <col min="16" max="16" width="17.8515625" style="0" customWidth="1"/>
    <col min="17" max="17" width="16.28125" style="0" customWidth="1"/>
    <col min="18" max="18" width="18.57421875" style="0" customWidth="1"/>
  </cols>
  <sheetData>
    <row r="1" spans="1:20" ht="12.75">
      <c r="A1" s="1" t="s">
        <v>10</v>
      </c>
      <c r="B1" s="27" t="s">
        <v>529</v>
      </c>
      <c r="D1" s="5"/>
      <c r="F1" s="5"/>
      <c r="G1" s="12"/>
      <c r="H1" s="4"/>
      <c r="I1"/>
      <c r="P1" s="10"/>
      <c r="Q1" s="10"/>
      <c r="R1" s="10"/>
      <c r="S1" s="10"/>
      <c r="T1" s="10"/>
    </row>
    <row r="2" spans="1:20" ht="12.75">
      <c r="A2" s="1" t="s">
        <v>34</v>
      </c>
      <c r="B2" s="27" t="s">
        <v>528</v>
      </c>
      <c r="C2" s="41"/>
      <c r="D2" s="63"/>
      <c r="F2" s="5"/>
      <c r="G2" s="12"/>
      <c r="H2" s="4"/>
      <c r="I2"/>
      <c r="P2" s="10"/>
      <c r="Q2" s="10"/>
      <c r="R2" s="10"/>
      <c r="S2" s="10"/>
      <c r="T2" s="10"/>
    </row>
    <row r="3" spans="1:20" ht="12.75">
      <c r="A3" s="1" t="s">
        <v>23</v>
      </c>
      <c r="B3" s="27" t="s">
        <v>545</v>
      </c>
      <c r="D3" s="5"/>
      <c r="F3" s="5"/>
      <c r="G3" s="12"/>
      <c r="H3" s="4"/>
      <c r="I3"/>
      <c r="P3" s="10"/>
      <c r="Q3" s="10"/>
      <c r="R3" s="10"/>
      <c r="S3" s="10"/>
      <c r="T3" s="10"/>
    </row>
    <row r="4" spans="1:20" ht="17.25">
      <c r="A4" s="1" t="s">
        <v>29</v>
      </c>
      <c r="B4" s="44"/>
      <c r="C4" s="374"/>
      <c r="D4" s="5"/>
      <c r="F4" s="5"/>
      <c r="G4" s="12"/>
      <c r="H4" s="94"/>
      <c r="I4" s="9"/>
      <c r="J4" s="9"/>
      <c r="K4" s="9"/>
      <c r="P4" s="10"/>
      <c r="Q4" s="10"/>
      <c r="R4" s="10"/>
      <c r="S4" s="10"/>
      <c r="T4" s="10"/>
    </row>
    <row r="5" spans="1:20" ht="15" thickBot="1">
      <c r="A5" s="1" t="s">
        <v>11</v>
      </c>
      <c r="B5" s="138" t="s">
        <v>325</v>
      </c>
      <c r="C5" s="372"/>
      <c r="D5" s="379"/>
      <c r="E5" s="341"/>
      <c r="F5" s="519"/>
      <c r="G5" s="519"/>
      <c r="H5" s="519"/>
      <c r="I5" s="519"/>
      <c r="J5" s="9"/>
      <c r="K5" s="9"/>
      <c r="N5" s="2"/>
      <c r="P5" s="10"/>
      <c r="Q5" s="10"/>
      <c r="R5" s="10"/>
      <c r="S5" s="10"/>
      <c r="T5" s="10"/>
    </row>
    <row r="6" spans="1:20" ht="20.25">
      <c r="A6" s="684" t="s">
        <v>14</v>
      </c>
      <c r="B6" s="284" t="s">
        <v>519</v>
      </c>
      <c r="C6" s="30" t="s">
        <v>15</v>
      </c>
      <c r="D6" s="29" t="s">
        <v>28</v>
      </c>
      <c r="E6" s="381" t="s">
        <v>460</v>
      </c>
      <c r="F6" s="31" t="s">
        <v>26</v>
      </c>
      <c r="G6" s="32" t="s">
        <v>13</v>
      </c>
      <c r="H6" s="686" t="s">
        <v>44</v>
      </c>
      <c r="I6" s="30" t="s">
        <v>2</v>
      </c>
      <c r="J6" s="684" t="s">
        <v>49</v>
      </c>
      <c r="K6" s="684" t="s">
        <v>32</v>
      </c>
      <c r="L6" s="684" t="s">
        <v>5</v>
      </c>
      <c r="M6" s="684" t="s">
        <v>4</v>
      </c>
      <c r="N6" s="684" t="s">
        <v>6</v>
      </c>
      <c r="P6" s="10"/>
      <c r="Q6" s="10"/>
      <c r="R6" s="10"/>
      <c r="S6" s="10"/>
      <c r="T6" s="10"/>
    </row>
    <row r="7" spans="1:20" ht="13.5" thickBot="1">
      <c r="A7" s="685"/>
      <c r="B7" s="546" t="s">
        <v>520</v>
      </c>
      <c r="C7" s="6"/>
      <c r="D7" s="7"/>
      <c r="E7" s="547" t="s">
        <v>209</v>
      </c>
      <c r="F7" s="7" t="s">
        <v>1</v>
      </c>
      <c r="G7" s="98"/>
      <c r="H7" s="687"/>
      <c r="I7" s="53" t="s">
        <v>3</v>
      </c>
      <c r="J7" s="685"/>
      <c r="K7" s="685"/>
      <c r="L7" s="685"/>
      <c r="M7" s="685"/>
      <c r="N7" s="685"/>
      <c r="P7" s="10"/>
      <c r="Q7" s="10"/>
      <c r="R7" s="10"/>
      <c r="S7" s="10"/>
      <c r="T7" s="10"/>
    </row>
    <row r="8" spans="1:20" s="9" customFormat="1" ht="12.75">
      <c r="A8" s="376" t="s">
        <v>310</v>
      </c>
      <c r="B8" s="106" t="s">
        <v>302</v>
      </c>
      <c r="C8" s="549" t="s">
        <v>150</v>
      </c>
      <c r="D8" s="106" t="s">
        <v>50</v>
      </c>
      <c r="E8" s="106">
        <v>190</v>
      </c>
      <c r="F8" s="550">
        <v>67</v>
      </c>
      <c r="G8" s="106">
        <f>VLOOKUP(A8,'Matrix BZ'!$A$2:$C$16,3,1)</f>
        <v>2.5</v>
      </c>
      <c r="H8" s="147">
        <f>SUM(F8*(IF(G8=1,3.2,(IF(G8=2,6.33,(IF(G8=2.5,7.92,(IF(G8=3,7.8,(IF(G8=5,15.83,(IF(G8=0.25,0.99,(IF(G8="2 x p.a.",0.17)))))))))))))))</f>
        <v>530.64</v>
      </c>
      <c r="I8" s="596">
        <f>VLOOKUP(A8,'Matrix BZ'!$A$2:$C$16,2,1)</f>
        <v>0</v>
      </c>
      <c r="J8" s="147">
        <f aca="true" t="shared" si="0" ref="J8:J39">IF(I8&gt;0,SUM(H8/I8),0)</f>
        <v>0</v>
      </c>
      <c r="K8" s="551">
        <f>'StdVS Unterhaltsreinigung (UHR)'!$C$57</f>
        <v>0</v>
      </c>
      <c r="L8" s="148">
        <f aca="true" t="shared" si="1" ref="L8:L39">SUM(J8*K8)</f>
        <v>0</v>
      </c>
      <c r="M8" s="148">
        <f aca="true" t="shared" si="2" ref="M8:M39">L8*12</f>
        <v>0</v>
      </c>
      <c r="N8" s="109">
        <f aca="true" t="shared" si="3" ref="N8:N39">IF(H8&gt;0,L8/H8,0)</f>
        <v>0</v>
      </c>
      <c r="P8" s="10"/>
      <c r="Q8" s="10"/>
      <c r="R8" s="10"/>
      <c r="S8" s="10"/>
      <c r="T8" s="10"/>
    </row>
    <row r="9" spans="1:20" s="9" customFormat="1" ht="12.75">
      <c r="A9" s="377" t="s">
        <v>310</v>
      </c>
      <c r="B9" s="65" t="s">
        <v>302</v>
      </c>
      <c r="C9" s="344" t="s">
        <v>150</v>
      </c>
      <c r="D9" s="65" t="s">
        <v>50</v>
      </c>
      <c r="E9" s="65">
        <v>190</v>
      </c>
      <c r="F9" s="346">
        <v>67</v>
      </c>
      <c r="G9" s="65">
        <f>VLOOKUP(A9,'Matrix BZ'!$A$2:$C$16,3,1)</f>
        <v>2.5</v>
      </c>
      <c r="H9" s="359">
        <f aca="true" t="shared" si="4" ref="H9:H47">SUM(F9*(IF(G9=1,3.2,(IF(G9=2,6.33,(IF(G9=2.5,7.92,(IF(G9=3,7.8,(IF(G9=5,15.83,(IF(G9=0.25,0.99,(IF(G9="2 x p.a.",0.17)))))))))))))))</f>
        <v>530.64</v>
      </c>
      <c r="I9" s="352">
        <f>VLOOKUP(A9,'Matrix BZ'!$A$2:$C$16,2,1)</f>
        <v>0</v>
      </c>
      <c r="J9" s="359">
        <f t="shared" si="0"/>
        <v>0</v>
      </c>
      <c r="K9" s="66">
        <f>'StdVS Unterhaltsreinigung (UHR)'!$C$57</f>
        <v>0</v>
      </c>
      <c r="L9" s="360">
        <f t="shared" si="1"/>
        <v>0</v>
      </c>
      <c r="M9" s="360">
        <f t="shared" si="2"/>
        <v>0</v>
      </c>
      <c r="N9" s="110">
        <f t="shared" si="3"/>
        <v>0</v>
      </c>
      <c r="P9" s="10"/>
      <c r="Q9" s="10"/>
      <c r="R9" s="10"/>
      <c r="S9" s="10"/>
      <c r="T9" s="10"/>
    </row>
    <row r="10" spans="1:20" s="9" customFormat="1" ht="12.75">
      <c r="A10" s="377" t="s">
        <v>310</v>
      </c>
      <c r="B10" s="65" t="s">
        <v>302</v>
      </c>
      <c r="C10" s="344" t="s">
        <v>150</v>
      </c>
      <c r="D10" s="65" t="s">
        <v>50</v>
      </c>
      <c r="E10" s="65">
        <v>190</v>
      </c>
      <c r="F10" s="346">
        <v>67</v>
      </c>
      <c r="G10" s="65">
        <f>VLOOKUP(A10,'Matrix BZ'!$A$2:$C$16,3,1)</f>
        <v>2.5</v>
      </c>
      <c r="H10" s="359">
        <f t="shared" si="4"/>
        <v>530.64</v>
      </c>
      <c r="I10" s="352">
        <f>VLOOKUP(A10,'Matrix BZ'!$A$2:$C$16,2,1)</f>
        <v>0</v>
      </c>
      <c r="J10" s="359">
        <f t="shared" si="0"/>
        <v>0</v>
      </c>
      <c r="K10" s="66">
        <f>'StdVS Unterhaltsreinigung (UHR)'!$C$57</f>
        <v>0</v>
      </c>
      <c r="L10" s="360">
        <f t="shared" si="1"/>
        <v>0</v>
      </c>
      <c r="M10" s="360">
        <f t="shared" si="2"/>
        <v>0</v>
      </c>
      <c r="N10" s="110">
        <f t="shared" si="3"/>
        <v>0</v>
      </c>
      <c r="P10" s="10"/>
      <c r="Q10" s="10"/>
      <c r="R10" s="10"/>
      <c r="S10" s="10"/>
      <c r="T10" s="10"/>
    </row>
    <row r="11" spans="1:20" ht="12.75">
      <c r="A11" s="377" t="s">
        <v>310</v>
      </c>
      <c r="B11" s="65" t="s">
        <v>302</v>
      </c>
      <c r="C11" s="344" t="s">
        <v>324</v>
      </c>
      <c r="D11" s="65" t="s">
        <v>50</v>
      </c>
      <c r="E11" s="65">
        <v>190</v>
      </c>
      <c r="F11" s="346">
        <v>14.5</v>
      </c>
      <c r="G11" s="352">
        <v>1</v>
      </c>
      <c r="H11" s="359">
        <f t="shared" si="4"/>
        <v>46.400000000000006</v>
      </c>
      <c r="I11" s="352">
        <f>VLOOKUP(A11,'Matrix BZ'!$A$2:$C$16,2,1)</f>
        <v>0</v>
      </c>
      <c r="J11" s="104">
        <f t="shared" si="0"/>
        <v>0</v>
      </c>
      <c r="K11" s="66">
        <f>'StdVS Unterhaltsreinigung (UHR)'!$C$57</f>
        <v>0</v>
      </c>
      <c r="L11" s="105">
        <f t="shared" si="1"/>
        <v>0</v>
      </c>
      <c r="M11" s="105">
        <f t="shared" si="2"/>
        <v>0</v>
      </c>
      <c r="N11" s="110">
        <f t="shared" si="3"/>
        <v>0</v>
      </c>
      <c r="P11" s="10"/>
      <c r="Q11" s="10"/>
      <c r="R11" s="10"/>
      <c r="S11" s="10"/>
      <c r="T11" s="10"/>
    </row>
    <row r="12" spans="1:20" ht="12.75">
      <c r="A12" s="377" t="s">
        <v>314</v>
      </c>
      <c r="B12" s="65" t="s">
        <v>302</v>
      </c>
      <c r="C12" s="354" t="s">
        <v>151</v>
      </c>
      <c r="D12" s="65" t="s">
        <v>264</v>
      </c>
      <c r="E12" s="65">
        <v>190</v>
      </c>
      <c r="F12" s="346">
        <v>66.5</v>
      </c>
      <c r="G12" s="65">
        <f>VLOOKUP(A12,'Matrix BZ'!$A$2:$C$16,3,1)</f>
        <v>2.5</v>
      </c>
      <c r="H12" s="359">
        <f t="shared" si="4"/>
        <v>526.68</v>
      </c>
      <c r="I12" s="352">
        <f>VLOOKUP(A12,'Matrix BZ'!$A$2:$C$16,2,1)</f>
        <v>0</v>
      </c>
      <c r="J12" s="104">
        <f t="shared" si="0"/>
        <v>0</v>
      </c>
      <c r="K12" s="66">
        <f>'StdVS Unterhaltsreinigung (UHR)'!$C$57</f>
        <v>0</v>
      </c>
      <c r="L12" s="105">
        <f t="shared" si="1"/>
        <v>0</v>
      </c>
      <c r="M12" s="105">
        <f t="shared" si="2"/>
        <v>0</v>
      </c>
      <c r="N12" s="110">
        <f t="shared" si="3"/>
        <v>0</v>
      </c>
      <c r="P12" s="10"/>
      <c r="Q12" s="10"/>
      <c r="R12" s="10"/>
      <c r="S12" s="10"/>
      <c r="T12" s="10"/>
    </row>
    <row r="13" spans="1:20" ht="12.75">
      <c r="A13" s="377" t="s">
        <v>314</v>
      </c>
      <c r="B13" s="65" t="s">
        <v>302</v>
      </c>
      <c r="C13" s="435" t="s">
        <v>152</v>
      </c>
      <c r="D13" s="65" t="s">
        <v>264</v>
      </c>
      <c r="E13" s="65">
        <v>190</v>
      </c>
      <c r="F13" s="346">
        <v>60.3</v>
      </c>
      <c r="G13" s="65">
        <f>VLOOKUP(A13,'Matrix BZ'!$A$2:$C$16,3,1)</f>
        <v>2.5</v>
      </c>
      <c r="H13" s="359">
        <f t="shared" si="4"/>
        <v>477.57599999999996</v>
      </c>
      <c r="I13" s="352">
        <f>VLOOKUP(A13,'Matrix BZ'!$A$2:$C$16,2,1)</f>
        <v>0</v>
      </c>
      <c r="J13" s="104">
        <f t="shared" si="0"/>
        <v>0</v>
      </c>
      <c r="K13" s="66">
        <f>'StdVS Unterhaltsreinigung (UHR)'!$C$57</f>
        <v>0</v>
      </c>
      <c r="L13" s="105">
        <f t="shared" si="1"/>
        <v>0</v>
      </c>
      <c r="M13" s="105">
        <f t="shared" si="2"/>
        <v>0</v>
      </c>
      <c r="N13" s="110">
        <f t="shared" si="3"/>
        <v>0</v>
      </c>
      <c r="P13" s="10"/>
      <c r="Q13" s="10"/>
      <c r="R13" s="10"/>
      <c r="S13" s="10"/>
      <c r="T13" s="10"/>
    </row>
    <row r="14" spans="1:20" ht="18.75" customHeight="1">
      <c r="A14" s="377" t="s">
        <v>35</v>
      </c>
      <c r="B14" s="65" t="s">
        <v>302</v>
      </c>
      <c r="C14" s="344" t="s">
        <v>153</v>
      </c>
      <c r="D14" s="65" t="s">
        <v>264</v>
      </c>
      <c r="E14" s="65">
        <v>190</v>
      </c>
      <c r="F14" s="346">
        <v>18.6</v>
      </c>
      <c r="G14" s="65">
        <f>VLOOKUP(A14,'Matrix BZ'!$A$2:$C$16,3,1)</f>
        <v>2.5</v>
      </c>
      <c r="H14" s="359">
        <f t="shared" si="4"/>
        <v>147.312</v>
      </c>
      <c r="I14" s="352">
        <f>VLOOKUP(A14,'Matrix BZ'!$A$2:$C$16,2,1)</f>
        <v>0</v>
      </c>
      <c r="J14" s="104">
        <f t="shared" si="0"/>
        <v>0</v>
      </c>
      <c r="K14" s="66">
        <f>'StdVS Unterhaltsreinigung (UHR)'!$C$57</f>
        <v>0</v>
      </c>
      <c r="L14" s="105">
        <f t="shared" si="1"/>
        <v>0</v>
      </c>
      <c r="M14" s="105">
        <f t="shared" si="2"/>
        <v>0</v>
      </c>
      <c r="N14" s="110">
        <f t="shared" si="3"/>
        <v>0</v>
      </c>
      <c r="P14" s="10"/>
      <c r="Q14" s="10"/>
      <c r="R14" s="10"/>
      <c r="S14" s="10"/>
      <c r="T14" s="10"/>
    </row>
    <row r="15" spans="1:20" ht="12.75">
      <c r="A15" s="377" t="s">
        <v>310</v>
      </c>
      <c r="B15" s="65" t="s">
        <v>303</v>
      </c>
      <c r="C15" s="344" t="s">
        <v>154</v>
      </c>
      <c r="D15" s="65" t="s">
        <v>50</v>
      </c>
      <c r="E15" s="65">
        <v>190</v>
      </c>
      <c r="F15" s="346">
        <v>67</v>
      </c>
      <c r="G15" s="65">
        <f>VLOOKUP(A15,'Matrix BZ'!$A$2:$C$16,3,1)</f>
        <v>2.5</v>
      </c>
      <c r="H15" s="359">
        <f t="shared" si="4"/>
        <v>530.64</v>
      </c>
      <c r="I15" s="352">
        <f>VLOOKUP(A15,'Matrix BZ'!$A$2:$C$16,2,1)</f>
        <v>0</v>
      </c>
      <c r="J15" s="104">
        <f t="shared" si="0"/>
        <v>0</v>
      </c>
      <c r="K15" s="66">
        <f>'StdVS Unterhaltsreinigung (UHR)'!$C$57</f>
        <v>0</v>
      </c>
      <c r="L15" s="105">
        <f t="shared" si="1"/>
        <v>0</v>
      </c>
      <c r="M15" s="105">
        <f t="shared" si="2"/>
        <v>0</v>
      </c>
      <c r="N15" s="110">
        <f t="shared" si="3"/>
        <v>0</v>
      </c>
      <c r="P15" s="10"/>
      <c r="Q15" s="10"/>
      <c r="R15" s="10"/>
      <c r="S15" s="10"/>
      <c r="T15" s="10"/>
    </row>
    <row r="16" spans="1:20" ht="12.75">
      <c r="A16" s="377" t="s">
        <v>310</v>
      </c>
      <c r="B16" s="65" t="s">
        <v>303</v>
      </c>
      <c r="C16" s="344" t="s">
        <v>154</v>
      </c>
      <c r="D16" s="65" t="s">
        <v>50</v>
      </c>
      <c r="E16" s="65">
        <v>190</v>
      </c>
      <c r="F16" s="346">
        <v>67</v>
      </c>
      <c r="G16" s="65">
        <f>VLOOKUP(A16,'Matrix BZ'!$A$2:$C$16,3,1)</f>
        <v>2.5</v>
      </c>
      <c r="H16" s="359">
        <f t="shared" si="4"/>
        <v>530.64</v>
      </c>
      <c r="I16" s="352">
        <f>VLOOKUP(A16,'Matrix BZ'!$A$2:$C$16,2,1)</f>
        <v>0</v>
      </c>
      <c r="J16" s="104">
        <f t="shared" si="0"/>
        <v>0</v>
      </c>
      <c r="K16" s="66">
        <f>'StdVS Unterhaltsreinigung (UHR)'!$C$57</f>
        <v>0</v>
      </c>
      <c r="L16" s="105">
        <f t="shared" si="1"/>
        <v>0</v>
      </c>
      <c r="M16" s="105">
        <f t="shared" si="2"/>
        <v>0</v>
      </c>
      <c r="N16" s="110">
        <f t="shared" si="3"/>
        <v>0</v>
      </c>
      <c r="P16" s="10"/>
      <c r="Q16" s="10"/>
      <c r="R16" s="10"/>
      <c r="S16" s="10"/>
      <c r="T16" s="10"/>
    </row>
    <row r="17" spans="1:20" ht="12.75">
      <c r="A17" s="377" t="s">
        <v>310</v>
      </c>
      <c r="B17" s="65" t="s">
        <v>303</v>
      </c>
      <c r="C17" s="344" t="s">
        <v>154</v>
      </c>
      <c r="D17" s="65" t="s">
        <v>50</v>
      </c>
      <c r="E17" s="65">
        <v>190</v>
      </c>
      <c r="F17" s="346">
        <v>67</v>
      </c>
      <c r="G17" s="65">
        <f>VLOOKUP(A17,'Matrix BZ'!$A$2:$C$16,3,1)</f>
        <v>2.5</v>
      </c>
      <c r="H17" s="359">
        <f t="shared" si="4"/>
        <v>530.64</v>
      </c>
      <c r="I17" s="352">
        <f>VLOOKUP(A17,'Matrix BZ'!$A$2:$C$16,2,1)</f>
        <v>0</v>
      </c>
      <c r="J17" s="104">
        <f t="shared" si="0"/>
        <v>0</v>
      </c>
      <c r="K17" s="66">
        <f>'StdVS Unterhaltsreinigung (UHR)'!$C$57</f>
        <v>0</v>
      </c>
      <c r="L17" s="105">
        <f t="shared" si="1"/>
        <v>0</v>
      </c>
      <c r="M17" s="105">
        <f t="shared" si="2"/>
        <v>0</v>
      </c>
      <c r="N17" s="110">
        <f t="shared" si="3"/>
        <v>0</v>
      </c>
      <c r="P17" s="10"/>
      <c r="Q17" s="10"/>
      <c r="R17" s="10"/>
      <c r="S17" s="10"/>
      <c r="T17" s="10"/>
    </row>
    <row r="18" spans="1:20" ht="12.75">
      <c r="A18" s="377" t="s">
        <v>310</v>
      </c>
      <c r="B18" s="65" t="s">
        <v>303</v>
      </c>
      <c r="C18" s="344" t="s">
        <v>155</v>
      </c>
      <c r="D18" s="65" t="s">
        <v>50</v>
      </c>
      <c r="E18" s="65">
        <v>190</v>
      </c>
      <c r="F18" s="346">
        <v>82.4</v>
      </c>
      <c r="G18" s="65">
        <f>VLOOKUP(A18,'Matrix BZ'!$A$2:$C$16,3,1)</f>
        <v>2.5</v>
      </c>
      <c r="H18" s="359">
        <f t="shared" si="4"/>
        <v>652.6080000000001</v>
      </c>
      <c r="I18" s="352">
        <f>VLOOKUP(A18,'Matrix BZ'!$A$2:$C$16,2,1)</f>
        <v>0</v>
      </c>
      <c r="J18" s="104">
        <f t="shared" si="0"/>
        <v>0</v>
      </c>
      <c r="K18" s="66">
        <f>'StdVS Unterhaltsreinigung (UHR)'!$C$57</f>
        <v>0</v>
      </c>
      <c r="L18" s="105">
        <f t="shared" si="1"/>
        <v>0</v>
      </c>
      <c r="M18" s="105">
        <f t="shared" si="2"/>
        <v>0</v>
      </c>
      <c r="N18" s="110">
        <f t="shared" si="3"/>
        <v>0</v>
      </c>
      <c r="P18" s="10"/>
      <c r="Q18" s="10"/>
      <c r="R18" s="10"/>
      <c r="S18" s="10"/>
      <c r="T18" s="10"/>
    </row>
    <row r="19" spans="1:20" ht="12.75">
      <c r="A19" s="377" t="s">
        <v>314</v>
      </c>
      <c r="B19" s="65" t="s">
        <v>303</v>
      </c>
      <c r="C19" s="344" t="s">
        <v>152</v>
      </c>
      <c r="D19" s="65" t="s">
        <v>264</v>
      </c>
      <c r="E19" s="65">
        <v>190</v>
      </c>
      <c r="F19" s="346">
        <v>60.3</v>
      </c>
      <c r="G19" s="65">
        <f>VLOOKUP(A19,'Matrix BZ'!$A$2:$C$16,3,1)</f>
        <v>2.5</v>
      </c>
      <c r="H19" s="359">
        <f t="shared" si="4"/>
        <v>477.57599999999996</v>
      </c>
      <c r="I19" s="352">
        <f>VLOOKUP(A19,'Matrix BZ'!$A$2:$C$16,2,1)</f>
        <v>0</v>
      </c>
      <c r="J19" s="104">
        <f t="shared" si="0"/>
        <v>0</v>
      </c>
      <c r="K19" s="66">
        <f>'StdVS Unterhaltsreinigung (UHR)'!$C$57</f>
        <v>0</v>
      </c>
      <c r="L19" s="105">
        <f t="shared" si="1"/>
        <v>0</v>
      </c>
      <c r="M19" s="105">
        <f t="shared" si="2"/>
        <v>0</v>
      </c>
      <c r="N19" s="110">
        <f t="shared" si="3"/>
        <v>0</v>
      </c>
      <c r="P19" s="10"/>
      <c r="Q19" s="10"/>
      <c r="R19" s="10"/>
      <c r="S19" s="10"/>
      <c r="T19" s="10"/>
    </row>
    <row r="20" spans="1:20" ht="12.75">
      <c r="A20" s="377" t="s">
        <v>35</v>
      </c>
      <c r="B20" s="65" t="s">
        <v>303</v>
      </c>
      <c r="C20" s="344" t="s">
        <v>156</v>
      </c>
      <c r="D20" s="65" t="s">
        <v>264</v>
      </c>
      <c r="E20" s="65">
        <v>190</v>
      </c>
      <c r="F20" s="346">
        <v>25.15</v>
      </c>
      <c r="G20" s="65">
        <f>VLOOKUP(A20,'Matrix BZ'!$A$2:$C$16,3,1)</f>
        <v>2.5</v>
      </c>
      <c r="H20" s="359">
        <f t="shared" si="4"/>
        <v>199.188</v>
      </c>
      <c r="I20" s="352">
        <f>VLOOKUP(A20,'Matrix BZ'!$A$2:$C$16,2,1)</f>
        <v>0</v>
      </c>
      <c r="J20" s="104">
        <f t="shared" si="0"/>
        <v>0</v>
      </c>
      <c r="K20" s="66">
        <f>'StdVS Unterhaltsreinigung (UHR)'!$C$57</f>
        <v>0</v>
      </c>
      <c r="L20" s="105">
        <f t="shared" si="1"/>
        <v>0</v>
      </c>
      <c r="M20" s="105">
        <f t="shared" si="2"/>
        <v>0</v>
      </c>
      <c r="N20" s="110">
        <f t="shared" si="3"/>
        <v>0</v>
      </c>
      <c r="P20" s="10"/>
      <c r="Q20" s="10"/>
      <c r="R20" s="10"/>
      <c r="S20" s="10"/>
      <c r="T20" s="10"/>
    </row>
    <row r="21" spans="1:20" ht="12.75">
      <c r="A21" s="377" t="s">
        <v>35</v>
      </c>
      <c r="B21" s="65" t="s">
        <v>303</v>
      </c>
      <c r="C21" s="344" t="s">
        <v>157</v>
      </c>
      <c r="D21" s="65" t="s">
        <v>264</v>
      </c>
      <c r="E21" s="65">
        <v>190</v>
      </c>
      <c r="F21" s="346">
        <v>18.6</v>
      </c>
      <c r="G21" s="65">
        <f>VLOOKUP(A21,'Matrix BZ'!$A$2:$C$16,3,1)</f>
        <v>2.5</v>
      </c>
      <c r="H21" s="359">
        <f t="shared" si="4"/>
        <v>147.312</v>
      </c>
      <c r="I21" s="352">
        <f>VLOOKUP(A21,'Matrix BZ'!$A$2:$C$16,2,1)</f>
        <v>0</v>
      </c>
      <c r="J21" s="104">
        <f t="shared" si="0"/>
        <v>0</v>
      </c>
      <c r="K21" s="66">
        <f>'StdVS Unterhaltsreinigung (UHR)'!$C$57</f>
        <v>0</v>
      </c>
      <c r="L21" s="105">
        <f t="shared" si="1"/>
        <v>0</v>
      </c>
      <c r="M21" s="105">
        <f t="shared" si="2"/>
        <v>0</v>
      </c>
      <c r="N21" s="110">
        <f t="shared" si="3"/>
        <v>0</v>
      </c>
      <c r="P21" s="10"/>
      <c r="Q21" s="10"/>
      <c r="R21" s="10"/>
      <c r="S21" s="10"/>
      <c r="T21" s="10"/>
    </row>
    <row r="22" spans="1:20" ht="12.75">
      <c r="A22" s="377" t="s">
        <v>310</v>
      </c>
      <c r="B22" s="65" t="s">
        <v>304</v>
      </c>
      <c r="C22" s="354" t="s">
        <v>154</v>
      </c>
      <c r="D22" s="65" t="s">
        <v>50</v>
      </c>
      <c r="E22" s="65">
        <v>190</v>
      </c>
      <c r="F22" s="346">
        <v>67</v>
      </c>
      <c r="G22" s="65">
        <f>VLOOKUP(A22,'Matrix BZ'!$A$2:$C$16,3,1)</f>
        <v>2.5</v>
      </c>
      <c r="H22" s="359">
        <f t="shared" si="4"/>
        <v>530.64</v>
      </c>
      <c r="I22" s="352">
        <f>VLOOKUP(A22,'Matrix BZ'!$A$2:$C$16,2,1)</f>
        <v>0</v>
      </c>
      <c r="J22" s="104">
        <f t="shared" si="0"/>
        <v>0</v>
      </c>
      <c r="K22" s="66">
        <f>'StdVS Unterhaltsreinigung (UHR)'!$C$57</f>
        <v>0</v>
      </c>
      <c r="L22" s="105">
        <f t="shared" si="1"/>
        <v>0</v>
      </c>
      <c r="M22" s="105">
        <f t="shared" si="2"/>
        <v>0</v>
      </c>
      <c r="N22" s="110">
        <f t="shared" si="3"/>
        <v>0</v>
      </c>
      <c r="P22" s="10"/>
      <c r="Q22" s="10"/>
      <c r="R22" s="10"/>
      <c r="S22" s="10"/>
      <c r="T22" s="10"/>
    </row>
    <row r="23" spans="1:20" ht="12.75">
      <c r="A23" s="377" t="s">
        <v>310</v>
      </c>
      <c r="B23" s="65" t="s">
        <v>304</v>
      </c>
      <c r="C23" s="354" t="s">
        <v>154</v>
      </c>
      <c r="D23" s="65" t="s">
        <v>50</v>
      </c>
      <c r="E23" s="65">
        <v>190</v>
      </c>
      <c r="F23" s="346">
        <v>67</v>
      </c>
      <c r="G23" s="65">
        <f>VLOOKUP(A23,'Matrix BZ'!$A$2:$C$16,3,1)</f>
        <v>2.5</v>
      </c>
      <c r="H23" s="359">
        <f t="shared" si="4"/>
        <v>530.64</v>
      </c>
      <c r="I23" s="352">
        <f>VLOOKUP(A23,'Matrix BZ'!$A$2:$C$16,2,1)</f>
        <v>0</v>
      </c>
      <c r="J23" s="104">
        <f t="shared" si="0"/>
        <v>0</v>
      </c>
      <c r="K23" s="66">
        <f>'StdVS Unterhaltsreinigung (UHR)'!$C$57</f>
        <v>0</v>
      </c>
      <c r="L23" s="105">
        <f t="shared" si="1"/>
        <v>0</v>
      </c>
      <c r="M23" s="105">
        <f t="shared" si="2"/>
        <v>0</v>
      </c>
      <c r="N23" s="110">
        <f t="shared" si="3"/>
        <v>0</v>
      </c>
      <c r="P23" s="10"/>
      <c r="Q23" s="10"/>
      <c r="R23" s="10"/>
      <c r="S23" s="10"/>
      <c r="T23" s="10"/>
    </row>
    <row r="24" spans="1:20" ht="12.75">
      <c r="A24" s="377" t="s">
        <v>310</v>
      </c>
      <c r="B24" s="65" t="s">
        <v>304</v>
      </c>
      <c r="C24" s="354" t="s">
        <v>154</v>
      </c>
      <c r="D24" s="65" t="s">
        <v>50</v>
      </c>
      <c r="E24" s="65">
        <v>190</v>
      </c>
      <c r="F24" s="346">
        <v>67</v>
      </c>
      <c r="G24" s="65">
        <f>VLOOKUP(A24,'Matrix BZ'!$A$2:$C$16,3,1)</f>
        <v>2.5</v>
      </c>
      <c r="H24" s="359">
        <f t="shared" si="4"/>
        <v>530.64</v>
      </c>
      <c r="I24" s="352">
        <f>VLOOKUP(A24,'Matrix BZ'!$A$2:$C$16,2,1)</f>
        <v>0</v>
      </c>
      <c r="J24" s="104">
        <f t="shared" si="0"/>
        <v>0</v>
      </c>
      <c r="K24" s="66">
        <f>'StdVS Unterhaltsreinigung (UHR)'!$C$57</f>
        <v>0</v>
      </c>
      <c r="L24" s="105">
        <f t="shared" si="1"/>
        <v>0</v>
      </c>
      <c r="M24" s="105">
        <f t="shared" si="2"/>
        <v>0</v>
      </c>
      <c r="N24" s="110">
        <f t="shared" si="3"/>
        <v>0</v>
      </c>
      <c r="P24" s="10"/>
      <c r="Q24" s="10"/>
      <c r="R24" s="10"/>
      <c r="S24" s="10"/>
      <c r="T24" s="10"/>
    </row>
    <row r="25" spans="1:20" ht="12.75">
      <c r="A25" s="377" t="s">
        <v>310</v>
      </c>
      <c r="B25" s="65" t="s">
        <v>304</v>
      </c>
      <c r="C25" s="354" t="s">
        <v>155</v>
      </c>
      <c r="D25" s="65" t="s">
        <v>50</v>
      </c>
      <c r="E25" s="65">
        <v>190</v>
      </c>
      <c r="F25" s="346">
        <v>82.4</v>
      </c>
      <c r="G25" s="65">
        <f>VLOOKUP(A25,'Matrix BZ'!$A$2:$C$16,3,1)</f>
        <v>2.5</v>
      </c>
      <c r="H25" s="359">
        <f t="shared" si="4"/>
        <v>652.6080000000001</v>
      </c>
      <c r="I25" s="352">
        <f>VLOOKUP(A25,'Matrix BZ'!$A$2:$C$16,2,1)</f>
        <v>0</v>
      </c>
      <c r="J25" s="104">
        <f t="shared" si="0"/>
        <v>0</v>
      </c>
      <c r="K25" s="66">
        <f>'StdVS Unterhaltsreinigung (UHR)'!$C$57</f>
        <v>0</v>
      </c>
      <c r="L25" s="105">
        <f t="shared" si="1"/>
        <v>0</v>
      </c>
      <c r="M25" s="105">
        <f t="shared" si="2"/>
        <v>0</v>
      </c>
      <c r="N25" s="110">
        <f t="shared" si="3"/>
        <v>0</v>
      </c>
      <c r="P25" s="10"/>
      <c r="Q25" s="10"/>
      <c r="R25" s="10"/>
      <c r="S25" s="10"/>
      <c r="T25" s="10"/>
    </row>
    <row r="26" spans="1:20" ht="12.75">
      <c r="A26" s="377" t="s">
        <v>314</v>
      </c>
      <c r="B26" s="65" t="s">
        <v>304</v>
      </c>
      <c r="C26" s="354" t="s">
        <v>152</v>
      </c>
      <c r="D26" s="65" t="s">
        <v>264</v>
      </c>
      <c r="E26" s="65">
        <v>190</v>
      </c>
      <c r="F26" s="346">
        <v>60.3</v>
      </c>
      <c r="G26" s="65">
        <f>VLOOKUP(A26,'Matrix BZ'!$A$2:$C$16,3,1)</f>
        <v>2.5</v>
      </c>
      <c r="H26" s="359">
        <f t="shared" si="4"/>
        <v>477.57599999999996</v>
      </c>
      <c r="I26" s="352">
        <f>VLOOKUP(A26,'Matrix BZ'!$A$2:$C$16,2,1)</f>
        <v>0</v>
      </c>
      <c r="J26" s="104">
        <f t="shared" si="0"/>
        <v>0</v>
      </c>
      <c r="K26" s="66">
        <f>'StdVS Unterhaltsreinigung (UHR)'!$C$57</f>
        <v>0</v>
      </c>
      <c r="L26" s="105">
        <f t="shared" si="1"/>
        <v>0</v>
      </c>
      <c r="M26" s="105">
        <f t="shared" si="2"/>
        <v>0</v>
      </c>
      <c r="N26" s="110">
        <f t="shared" si="3"/>
        <v>0</v>
      </c>
      <c r="P26" s="10"/>
      <c r="Q26" s="10"/>
      <c r="R26" s="10"/>
      <c r="S26" s="10"/>
      <c r="T26" s="10"/>
    </row>
    <row r="27" spans="1:20" ht="12.75">
      <c r="A27" s="377" t="s">
        <v>35</v>
      </c>
      <c r="B27" s="65" t="s">
        <v>304</v>
      </c>
      <c r="C27" s="354" t="s">
        <v>158</v>
      </c>
      <c r="D27" s="65" t="s">
        <v>264</v>
      </c>
      <c r="E27" s="65">
        <v>190</v>
      </c>
      <c r="F27" s="346">
        <v>25.15</v>
      </c>
      <c r="G27" s="65">
        <f>VLOOKUP(A27,'Matrix BZ'!$A$2:$C$16,3,1)</f>
        <v>2.5</v>
      </c>
      <c r="H27" s="359">
        <f t="shared" si="4"/>
        <v>199.188</v>
      </c>
      <c r="I27" s="352">
        <f>VLOOKUP(A27,'Matrix BZ'!$A$2:$C$16,2,1)</f>
        <v>0</v>
      </c>
      <c r="J27" s="104">
        <f t="shared" si="0"/>
        <v>0</v>
      </c>
      <c r="K27" s="66">
        <f>'StdVS Unterhaltsreinigung (UHR)'!$C$57</f>
        <v>0</v>
      </c>
      <c r="L27" s="105">
        <f t="shared" si="1"/>
        <v>0</v>
      </c>
      <c r="M27" s="105">
        <f t="shared" si="2"/>
        <v>0</v>
      </c>
      <c r="N27" s="110">
        <f t="shared" si="3"/>
        <v>0</v>
      </c>
      <c r="P27" s="10"/>
      <c r="Q27" s="10"/>
      <c r="R27" s="10"/>
      <c r="S27" s="10"/>
      <c r="T27" s="10"/>
    </row>
    <row r="28" spans="1:20" ht="12.75">
      <c r="A28" s="377" t="s">
        <v>35</v>
      </c>
      <c r="B28" s="65" t="s">
        <v>304</v>
      </c>
      <c r="C28" s="354" t="s">
        <v>157</v>
      </c>
      <c r="D28" s="65" t="s">
        <v>264</v>
      </c>
      <c r="E28" s="65">
        <v>190</v>
      </c>
      <c r="F28" s="346">
        <v>18.6</v>
      </c>
      <c r="G28" s="65">
        <f>VLOOKUP(A28,'Matrix BZ'!$A$2:$C$16,3,1)</f>
        <v>2.5</v>
      </c>
      <c r="H28" s="359">
        <f t="shared" si="4"/>
        <v>147.312</v>
      </c>
      <c r="I28" s="352">
        <f>VLOOKUP(A28,'Matrix BZ'!$A$2:$C$16,2,1)</f>
        <v>0</v>
      </c>
      <c r="J28" s="104">
        <f t="shared" si="0"/>
        <v>0</v>
      </c>
      <c r="K28" s="66">
        <f>'StdVS Unterhaltsreinigung (UHR)'!$C$57</f>
        <v>0</v>
      </c>
      <c r="L28" s="105">
        <f t="shared" si="1"/>
        <v>0</v>
      </c>
      <c r="M28" s="105">
        <f t="shared" si="2"/>
        <v>0</v>
      </c>
      <c r="N28" s="110">
        <f t="shared" si="3"/>
        <v>0</v>
      </c>
      <c r="P28" s="10"/>
      <c r="Q28" s="10"/>
      <c r="R28" s="10"/>
      <c r="S28" s="10"/>
      <c r="T28" s="10"/>
    </row>
    <row r="29" spans="1:20" ht="12.75">
      <c r="A29" s="377" t="s">
        <v>38</v>
      </c>
      <c r="B29" s="65" t="s">
        <v>306</v>
      </c>
      <c r="C29" s="354" t="s">
        <v>160</v>
      </c>
      <c r="D29" s="65" t="s">
        <v>22</v>
      </c>
      <c r="E29" s="65">
        <v>190</v>
      </c>
      <c r="F29" s="347">
        <v>18.94</v>
      </c>
      <c r="G29" s="65">
        <f>VLOOKUP(A29,'Matrix BZ'!$A$2:$C$16,3,1)</f>
        <v>5</v>
      </c>
      <c r="H29" s="359">
        <f t="shared" si="4"/>
        <v>299.8202</v>
      </c>
      <c r="I29" s="352">
        <f>VLOOKUP(A29,'Matrix BZ'!$A$2:$C$16,2,1)</f>
        <v>0</v>
      </c>
      <c r="J29" s="104">
        <f t="shared" si="0"/>
        <v>0</v>
      </c>
      <c r="K29" s="66">
        <f>'StdVS Unterhaltsreinigung (UHR)'!$C$57</f>
        <v>0</v>
      </c>
      <c r="L29" s="105">
        <f t="shared" si="1"/>
        <v>0</v>
      </c>
      <c r="M29" s="105">
        <f t="shared" si="2"/>
        <v>0</v>
      </c>
      <c r="N29" s="110">
        <f t="shared" si="3"/>
        <v>0</v>
      </c>
      <c r="P29" s="10"/>
      <c r="Q29" s="10"/>
      <c r="R29" s="10"/>
      <c r="S29" s="10"/>
      <c r="T29" s="10"/>
    </row>
    <row r="30" spans="1:20" ht="12.75">
      <c r="A30" s="377" t="s">
        <v>38</v>
      </c>
      <c r="B30" s="65" t="s">
        <v>306</v>
      </c>
      <c r="C30" s="354" t="s">
        <v>161</v>
      </c>
      <c r="D30" s="65" t="s">
        <v>22</v>
      </c>
      <c r="E30" s="65">
        <v>190</v>
      </c>
      <c r="F30" s="347">
        <v>7.03</v>
      </c>
      <c r="G30" s="65">
        <f>VLOOKUP(A30,'Matrix BZ'!$A$2:$C$16,3,1)</f>
        <v>5</v>
      </c>
      <c r="H30" s="359">
        <f t="shared" si="4"/>
        <v>111.28490000000001</v>
      </c>
      <c r="I30" s="352">
        <f>VLOOKUP(A30,'Matrix BZ'!$A$2:$C$16,2,1)</f>
        <v>0</v>
      </c>
      <c r="J30" s="104">
        <f t="shared" si="0"/>
        <v>0</v>
      </c>
      <c r="K30" s="66">
        <f>'StdVS Unterhaltsreinigung (UHR)'!$C$57</f>
        <v>0</v>
      </c>
      <c r="L30" s="105">
        <f t="shared" si="1"/>
        <v>0</v>
      </c>
      <c r="M30" s="105">
        <f t="shared" si="2"/>
        <v>0</v>
      </c>
      <c r="N30" s="110">
        <f t="shared" si="3"/>
        <v>0</v>
      </c>
      <c r="P30" s="10"/>
      <c r="Q30" s="10"/>
      <c r="R30" s="10"/>
      <c r="S30" s="10"/>
      <c r="T30" s="10"/>
    </row>
    <row r="31" spans="1:20" ht="12.75">
      <c r="A31" s="377" t="s">
        <v>38</v>
      </c>
      <c r="B31" s="65" t="s">
        <v>306</v>
      </c>
      <c r="C31" s="354" t="s">
        <v>162</v>
      </c>
      <c r="D31" s="65" t="s">
        <v>22</v>
      </c>
      <c r="E31" s="65">
        <v>190</v>
      </c>
      <c r="F31" s="346">
        <v>24.55</v>
      </c>
      <c r="G31" s="65">
        <f>VLOOKUP(A31,'Matrix BZ'!$A$2:$C$16,3,1)</f>
        <v>5</v>
      </c>
      <c r="H31" s="359">
        <f t="shared" si="4"/>
        <v>388.6265</v>
      </c>
      <c r="I31" s="352">
        <f>VLOOKUP(A31,'Matrix BZ'!$A$2:$C$16,2,1)</f>
        <v>0</v>
      </c>
      <c r="J31" s="104">
        <f t="shared" si="0"/>
        <v>0</v>
      </c>
      <c r="K31" s="66">
        <f>'StdVS Unterhaltsreinigung (UHR)'!$C$57</f>
        <v>0</v>
      </c>
      <c r="L31" s="105">
        <f t="shared" si="1"/>
        <v>0</v>
      </c>
      <c r="M31" s="105">
        <f t="shared" si="2"/>
        <v>0</v>
      </c>
      <c r="N31" s="110">
        <f t="shared" si="3"/>
        <v>0</v>
      </c>
      <c r="P31" s="10"/>
      <c r="Q31" s="10"/>
      <c r="R31" s="10"/>
      <c r="S31" s="10"/>
      <c r="T31" s="10"/>
    </row>
    <row r="32" spans="1:20" ht="12.75">
      <c r="A32" s="377" t="s">
        <v>38</v>
      </c>
      <c r="B32" s="65" t="s">
        <v>306</v>
      </c>
      <c r="C32" s="373" t="s">
        <v>163</v>
      </c>
      <c r="D32" s="65" t="s">
        <v>22</v>
      </c>
      <c r="E32" s="65">
        <v>190</v>
      </c>
      <c r="F32" s="345">
        <v>2.53</v>
      </c>
      <c r="G32" s="65">
        <f>VLOOKUP(A32,'Matrix BZ'!$A$2:$C$16,3,1)</f>
        <v>5</v>
      </c>
      <c r="H32" s="359">
        <f t="shared" si="4"/>
        <v>40.049899999999994</v>
      </c>
      <c r="I32" s="352">
        <f>VLOOKUP(A32,'Matrix BZ'!$A$2:$C$16,2,1)</f>
        <v>0</v>
      </c>
      <c r="J32" s="104">
        <f t="shared" si="0"/>
        <v>0</v>
      </c>
      <c r="K32" s="66">
        <f>'StdVS Unterhaltsreinigung (UHR)'!$C$57</f>
        <v>0</v>
      </c>
      <c r="L32" s="105">
        <f t="shared" si="1"/>
        <v>0</v>
      </c>
      <c r="M32" s="105">
        <f t="shared" si="2"/>
        <v>0</v>
      </c>
      <c r="N32" s="110">
        <f t="shared" si="3"/>
        <v>0</v>
      </c>
      <c r="P32" s="10"/>
      <c r="Q32" s="10"/>
      <c r="R32" s="10"/>
      <c r="S32" s="10"/>
      <c r="T32" s="10"/>
    </row>
    <row r="33" spans="1:20" ht="12.75">
      <c r="A33" s="377" t="s">
        <v>312</v>
      </c>
      <c r="B33" s="65" t="s">
        <v>306</v>
      </c>
      <c r="C33" s="354" t="s">
        <v>164</v>
      </c>
      <c r="D33" s="65" t="s">
        <v>305</v>
      </c>
      <c r="E33" s="65">
        <v>190</v>
      </c>
      <c r="F33" s="346">
        <v>41.67</v>
      </c>
      <c r="G33" s="65">
        <f>VLOOKUP(A33,'Matrix BZ'!$A$2:$C$16,3,1)</f>
        <v>2</v>
      </c>
      <c r="H33" s="359">
        <f t="shared" si="4"/>
        <v>263.7711</v>
      </c>
      <c r="I33" s="352">
        <f>VLOOKUP(A33,'Matrix BZ'!$A$2:$C$16,2,1)</f>
        <v>0</v>
      </c>
      <c r="J33" s="104">
        <f t="shared" si="0"/>
        <v>0</v>
      </c>
      <c r="K33" s="66">
        <f>'StdVS Unterhaltsreinigung (UHR)'!$C$57</f>
        <v>0</v>
      </c>
      <c r="L33" s="105">
        <f t="shared" si="1"/>
        <v>0</v>
      </c>
      <c r="M33" s="105">
        <f t="shared" si="2"/>
        <v>0</v>
      </c>
      <c r="N33" s="110">
        <f t="shared" si="3"/>
        <v>0</v>
      </c>
      <c r="P33" s="10"/>
      <c r="Q33" s="10"/>
      <c r="R33" s="10"/>
      <c r="S33" s="10"/>
      <c r="T33" s="10"/>
    </row>
    <row r="34" spans="1:20" ht="12.75">
      <c r="A34" s="377" t="s">
        <v>46</v>
      </c>
      <c r="B34" s="65" t="s">
        <v>306</v>
      </c>
      <c r="C34" s="354" t="s">
        <v>165</v>
      </c>
      <c r="D34" s="65" t="s">
        <v>305</v>
      </c>
      <c r="E34" s="65">
        <v>190</v>
      </c>
      <c r="F34" s="346">
        <v>4.1</v>
      </c>
      <c r="G34" s="65">
        <f>VLOOKUP(A34,'Matrix BZ'!$A$2:$C$16,3,1)</f>
        <v>1</v>
      </c>
      <c r="H34" s="359">
        <f t="shared" si="4"/>
        <v>13.12</v>
      </c>
      <c r="I34" s="352">
        <f>VLOOKUP(A34,'Matrix BZ'!$A$2:$C$16,2,1)</f>
        <v>0</v>
      </c>
      <c r="J34" s="104">
        <f t="shared" si="0"/>
        <v>0</v>
      </c>
      <c r="K34" s="66">
        <f>'StdVS Unterhaltsreinigung (UHR)'!$C$57</f>
        <v>0</v>
      </c>
      <c r="L34" s="105">
        <f t="shared" si="1"/>
        <v>0</v>
      </c>
      <c r="M34" s="105">
        <f t="shared" si="2"/>
        <v>0</v>
      </c>
      <c r="N34" s="110">
        <f t="shared" si="3"/>
        <v>0</v>
      </c>
      <c r="P34" s="10"/>
      <c r="Q34" s="10"/>
      <c r="R34" s="10"/>
      <c r="S34" s="10"/>
      <c r="T34" s="10"/>
    </row>
    <row r="35" spans="1:20" ht="12.75">
      <c r="A35" s="377" t="s">
        <v>317</v>
      </c>
      <c r="B35" s="65" t="s">
        <v>306</v>
      </c>
      <c r="C35" s="354" t="s">
        <v>166</v>
      </c>
      <c r="D35" s="65" t="s">
        <v>22</v>
      </c>
      <c r="E35" s="65">
        <v>190</v>
      </c>
      <c r="F35" s="346">
        <v>22.33</v>
      </c>
      <c r="G35" s="65">
        <f>VLOOKUP(A35,'Matrix BZ'!$A$2:$C$16,3,1)</f>
        <v>1</v>
      </c>
      <c r="H35" s="359">
        <f t="shared" si="4"/>
        <v>71.456</v>
      </c>
      <c r="I35" s="352">
        <f>VLOOKUP(A35,'Matrix BZ'!$A$2:$C$16,2,1)</f>
        <v>0</v>
      </c>
      <c r="J35" s="104">
        <f t="shared" si="0"/>
        <v>0</v>
      </c>
      <c r="K35" s="66">
        <f>'StdVS Unterhaltsreinigung (UHR)'!$C$57</f>
        <v>0</v>
      </c>
      <c r="L35" s="105">
        <f t="shared" si="1"/>
        <v>0</v>
      </c>
      <c r="M35" s="105">
        <f t="shared" si="2"/>
        <v>0</v>
      </c>
      <c r="N35" s="110">
        <f t="shared" si="3"/>
        <v>0</v>
      </c>
      <c r="P35" s="10"/>
      <c r="Q35" s="10"/>
      <c r="R35" s="10"/>
      <c r="S35" s="10"/>
      <c r="T35" s="10"/>
    </row>
    <row r="36" spans="1:20" ht="12.75">
      <c r="A36" s="377" t="s">
        <v>316</v>
      </c>
      <c r="B36" s="65" t="s">
        <v>306</v>
      </c>
      <c r="C36" s="354" t="s">
        <v>37</v>
      </c>
      <c r="D36" s="65" t="s">
        <v>22</v>
      </c>
      <c r="E36" s="352">
        <v>210</v>
      </c>
      <c r="F36" s="346">
        <v>28.81</v>
      </c>
      <c r="G36" s="65">
        <f>VLOOKUP(A36,'Matrix BZ'!$A$2:$C$16,3,1)</f>
        <v>5</v>
      </c>
      <c r="H36" s="359">
        <f>SUM(F36*(IF(G36=1,3.2,(IF(G36=2,6.33,(IF(G36=2.5,7.92,(IF(G36=3,7.8,(IF(G36=5,17.5,(IF(G36=0.25,0.99,(IF(G36="2 x p.a.",0.17)))))))))))))))</f>
        <v>504.17499999999995</v>
      </c>
      <c r="I36" s="352">
        <f>VLOOKUP(A36,'Matrix BZ'!$A$2:$C$16,2,1)</f>
        <v>0</v>
      </c>
      <c r="J36" s="104">
        <f t="shared" si="0"/>
        <v>0</v>
      </c>
      <c r="K36" s="66">
        <f>'StdVS Unterhaltsreinigung (UHR)'!$C$57</f>
        <v>0</v>
      </c>
      <c r="L36" s="105">
        <f t="shared" si="1"/>
        <v>0</v>
      </c>
      <c r="M36" s="105">
        <f t="shared" si="2"/>
        <v>0</v>
      </c>
      <c r="N36" s="110">
        <f t="shared" si="3"/>
        <v>0</v>
      </c>
      <c r="P36" s="10"/>
      <c r="Q36" s="10"/>
      <c r="R36" s="10"/>
      <c r="S36" s="10"/>
      <c r="T36" s="10"/>
    </row>
    <row r="37" spans="1:20" ht="21" customHeight="1">
      <c r="A37" s="377" t="s">
        <v>314</v>
      </c>
      <c r="B37" s="65" t="s">
        <v>306</v>
      </c>
      <c r="C37" s="354" t="s">
        <v>167</v>
      </c>
      <c r="D37" s="65" t="s">
        <v>305</v>
      </c>
      <c r="E37" s="65">
        <v>190</v>
      </c>
      <c r="F37" s="346">
        <v>33</v>
      </c>
      <c r="G37" s="65">
        <f>VLOOKUP(A37,'Matrix BZ'!$A$2:$C$16,3,1)</f>
        <v>2.5</v>
      </c>
      <c r="H37" s="359">
        <f t="shared" si="4"/>
        <v>261.36</v>
      </c>
      <c r="I37" s="352">
        <f>VLOOKUP(A37,'Matrix BZ'!$A$2:$C$16,2,1)</f>
        <v>0</v>
      </c>
      <c r="J37" s="104">
        <f t="shared" si="0"/>
        <v>0</v>
      </c>
      <c r="K37" s="66">
        <f>'StdVS Unterhaltsreinigung (UHR)'!$C$57</f>
        <v>0</v>
      </c>
      <c r="L37" s="105">
        <f t="shared" si="1"/>
        <v>0</v>
      </c>
      <c r="M37" s="105">
        <f t="shared" si="2"/>
        <v>0</v>
      </c>
      <c r="N37" s="110">
        <f t="shared" si="3"/>
        <v>0</v>
      </c>
      <c r="P37" s="10"/>
      <c r="Q37" s="10"/>
      <c r="R37" s="10"/>
      <c r="S37" s="10"/>
      <c r="T37" s="10"/>
    </row>
    <row r="38" spans="1:20" ht="13.5" customHeight="1">
      <c r="A38" s="377" t="s">
        <v>315</v>
      </c>
      <c r="B38" s="65" t="s">
        <v>307</v>
      </c>
      <c r="C38" s="354" t="s">
        <v>168</v>
      </c>
      <c r="D38" s="65" t="s">
        <v>305</v>
      </c>
      <c r="E38" s="65">
        <v>190</v>
      </c>
      <c r="F38" s="346">
        <v>34.8</v>
      </c>
      <c r="G38" s="65">
        <f>VLOOKUP(A38,'Matrix BZ'!$A$2:$C$16,3,1)</f>
        <v>5</v>
      </c>
      <c r="H38" s="359">
        <f t="shared" si="4"/>
        <v>550.8839999999999</v>
      </c>
      <c r="I38" s="352">
        <f>VLOOKUP(A38,'Matrix BZ'!$A$2:$C$16,2,1)</f>
        <v>0</v>
      </c>
      <c r="J38" s="104">
        <f t="shared" si="0"/>
        <v>0</v>
      </c>
      <c r="K38" s="66">
        <f>'StdVS Unterhaltsreinigung (UHR)'!$C$57</f>
        <v>0</v>
      </c>
      <c r="L38" s="105">
        <f t="shared" si="1"/>
        <v>0</v>
      </c>
      <c r="M38" s="105">
        <f t="shared" si="2"/>
        <v>0</v>
      </c>
      <c r="N38" s="110">
        <f t="shared" si="3"/>
        <v>0</v>
      </c>
      <c r="P38" s="10"/>
      <c r="Q38" s="10"/>
      <c r="R38" s="10"/>
      <c r="S38" s="10"/>
      <c r="T38" s="10"/>
    </row>
    <row r="39" spans="1:20" ht="12.75">
      <c r="A39" s="377" t="s">
        <v>312</v>
      </c>
      <c r="B39" s="65" t="s">
        <v>307</v>
      </c>
      <c r="C39" s="354" t="s">
        <v>169</v>
      </c>
      <c r="D39" s="65" t="s">
        <v>305</v>
      </c>
      <c r="E39" s="65">
        <v>190</v>
      </c>
      <c r="F39" s="346">
        <v>34.54</v>
      </c>
      <c r="G39" s="65">
        <f>VLOOKUP(A39,'Matrix BZ'!$A$2:$C$16,3,1)</f>
        <v>2</v>
      </c>
      <c r="H39" s="359">
        <f t="shared" si="4"/>
        <v>218.63819999999998</v>
      </c>
      <c r="I39" s="352">
        <f>VLOOKUP(A39,'Matrix BZ'!$A$2:$C$16,2,1)</f>
        <v>0</v>
      </c>
      <c r="J39" s="104">
        <f t="shared" si="0"/>
        <v>0</v>
      </c>
      <c r="K39" s="66">
        <f>'StdVS Unterhaltsreinigung (UHR)'!$C$57</f>
        <v>0</v>
      </c>
      <c r="L39" s="105">
        <f t="shared" si="1"/>
        <v>0</v>
      </c>
      <c r="M39" s="105">
        <f t="shared" si="2"/>
        <v>0</v>
      </c>
      <c r="N39" s="110">
        <f t="shared" si="3"/>
        <v>0</v>
      </c>
      <c r="P39" s="10"/>
      <c r="Q39" s="10"/>
      <c r="R39" s="10"/>
      <c r="S39" s="10"/>
      <c r="T39" s="10"/>
    </row>
    <row r="40" spans="1:20" ht="12.75">
      <c r="A40" s="377" t="s">
        <v>313</v>
      </c>
      <c r="B40" s="65" t="s">
        <v>307</v>
      </c>
      <c r="C40" s="354" t="s">
        <v>170</v>
      </c>
      <c r="D40" s="65" t="s">
        <v>305</v>
      </c>
      <c r="E40" s="65">
        <v>190</v>
      </c>
      <c r="F40" s="346">
        <v>12</v>
      </c>
      <c r="G40" s="65">
        <f>VLOOKUP(A40,'Matrix BZ'!$A$2:$C$16,3,1)</f>
        <v>1</v>
      </c>
      <c r="H40" s="359">
        <f t="shared" si="4"/>
        <v>38.400000000000006</v>
      </c>
      <c r="I40" s="352">
        <f>VLOOKUP(A40,'Matrix BZ'!$A$2:$C$16,2,1)</f>
        <v>0</v>
      </c>
      <c r="J40" s="104">
        <f aca="true" t="shared" si="5" ref="J40:J71">IF(I40&gt;0,SUM(H40/I40),0)</f>
        <v>0</v>
      </c>
      <c r="K40" s="66">
        <f>'StdVS Unterhaltsreinigung (UHR)'!$C$57</f>
        <v>0</v>
      </c>
      <c r="L40" s="105">
        <f aca="true" t="shared" si="6" ref="L40:L71">SUM(J40*K40)</f>
        <v>0</v>
      </c>
      <c r="M40" s="105">
        <f aca="true" t="shared" si="7" ref="M40:M71">L40*12</f>
        <v>0</v>
      </c>
      <c r="N40" s="110">
        <f aca="true" t="shared" si="8" ref="N40:N71">IF(H40&gt;0,L40/H40,0)</f>
        <v>0</v>
      </c>
      <c r="P40" s="10"/>
      <c r="Q40" s="10"/>
      <c r="R40" s="10"/>
      <c r="S40" s="10"/>
      <c r="T40" s="10"/>
    </row>
    <row r="41" spans="1:20" ht="12.75">
      <c r="A41" s="377" t="s">
        <v>312</v>
      </c>
      <c r="B41" s="65" t="s">
        <v>307</v>
      </c>
      <c r="C41" s="354" t="s">
        <v>171</v>
      </c>
      <c r="D41" s="65" t="s">
        <v>305</v>
      </c>
      <c r="E41" s="65">
        <v>190</v>
      </c>
      <c r="F41" s="346">
        <v>23.45</v>
      </c>
      <c r="G41" s="65">
        <f>VLOOKUP(A41,'Matrix BZ'!$A$2:$C$16,3,1)</f>
        <v>2</v>
      </c>
      <c r="H41" s="359">
        <f t="shared" si="4"/>
        <v>148.4385</v>
      </c>
      <c r="I41" s="352">
        <f>VLOOKUP(A41,'Matrix BZ'!$A$2:$C$16,2,1)</f>
        <v>0</v>
      </c>
      <c r="J41" s="104">
        <f t="shared" si="5"/>
        <v>0</v>
      </c>
      <c r="K41" s="66">
        <f>'StdVS Unterhaltsreinigung (UHR)'!$C$57</f>
        <v>0</v>
      </c>
      <c r="L41" s="105">
        <f t="shared" si="6"/>
        <v>0</v>
      </c>
      <c r="M41" s="105">
        <f t="shared" si="7"/>
        <v>0</v>
      </c>
      <c r="N41" s="110">
        <f t="shared" si="8"/>
        <v>0</v>
      </c>
      <c r="P41" s="10"/>
      <c r="Q41" s="10"/>
      <c r="R41" s="10"/>
      <c r="S41" s="10"/>
      <c r="T41" s="10"/>
    </row>
    <row r="42" spans="1:20" ht="12.75">
      <c r="A42" s="377" t="s">
        <v>312</v>
      </c>
      <c r="B42" s="65" t="s">
        <v>307</v>
      </c>
      <c r="C42" s="354" t="s">
        <v>172</v>
      </c>
      <c r="D42" s="65" t="s">
        <v>305</v>
      </c>
      <c r="E42" s="65">
        <v>190</v>
      </c>
      <c r="F42" s="346">
        <v>19.06</v>
      </c>
      <c r="G42" s="65">
        <f>VLOOKUP(A42,'Matrix BZ'!$A$2:$C$16,3,1)</f>
        <v>2</v>
      </c>
      <c r="H42" s="359">
        <f t="shared" si="4"/>
        <v>120.6498</v>
      </c>
      <c r="I42" s="352">
        <f>VLOOKUP(A42,'Matrix BZ'!$A$2:$C$16,2,1)</f>
        <v>0</v>
      </c>
      <c r="J42" s="104">
        <f t="shared" si="5"/>
        <v>0</v>
      </c>
      <c r="K42" s="66">
        <f>'StdVS Unterhaltsreinigung (UHR)'!$C$57</f>
        <v>0</v>
      </c>
      <c r="L42" s="105">
        <f t="shared" si="6"/>
        <v>0</v>
      </c>
      <c r="M42" s="105">
        <f t="shared" si="7"/>
        <v>0</v>
      </c>
      <c r="N42" s="110">
        <f t="shared" si="8"/>
        <v>0</v>
      </c>
      <c r="P42" s="10"/>
      <c r="Q42" s="10"/>
      <c r="R42" s="10"/>
      <c r="S42" s="10"/>
      <c r="T42" s="10"/>
    </row>
    <row r="43" spans="1:20" ht="12.75">
      <c r="A43" s="377" t="s">
        <v>38</v>
      </c>
      <c r="B43" s="65" t="s">
        <v>307</v>
      </c>
      <c r="C43" s="354" t="s">
        <v>41</v>
      </c>
      <c r="D43" s="65" t="s">
        <v>22</v>
      </c>
      <c r="E43" s="65">
        <v>190</v>
      </c>
      <c r="F43" s="346">
        <v>3.57</v>
      </c>
      <c r="G43" s="65">
        <f>VLOOKUP(A43,'Matrix BZ'!$A$2:$C$16,3,1)</f>
        <v>5</v>
      </c>
      <c r="H43" s="359">
        <f t="shared" si="4"/>
        <v>56.513099999999994</v>
      </c>
      <c r="I43" s="352">
        <f>VLOOKUP(A43,'Matrix BZ'!$A$2:$C$16,2,1)</f>
        <v>0</v>
      </c>
      <c r="J43" s="104">
        <f t="shared" si="5"/>
        <v>0</v>
      </c>
      <c r="K43" s="66">
        <f>'StdVS Unterhaltsreinigung (UHR)'!$C$57</f>
        <v>0</v>
      </c>
      <c r="L43" s="105">
        <f t="shared" si="6"/>
        <v>0</v>
      </c>
      <c r="M43" s="105">
        <f t="shared" si="7"/>
        <v>0</v>
      </c>
      <c r="N43" s="110">
        <f t="shared" si="8"/>
        <v>0</v>
      </c>
      <c r="P43" s="10"/>
      <c r="Q43" s="10"/>
      <c r="R43" s="10"/>
      <c r="S43" s="10"/>
      <c r="T43" s="10"/>
    </row>
    <row r="44" spans="1:20" ht="12.75">
      <c r="A44" s="377" t="s">
        <v>38</v>
      </c>
      <c r="B44" s="65" t="s">
        <v>307</v>
      </c>
      <c r="C44" s="354" t="s">
        <v>41</v>
      </c>
      <c r="D44" s="65" t="s">
        <v>22</v>
      </c>
      <c r="E44" s="65">
        <v>190</v>
      </c>
      <c r="F44" s="346">
        <v>3.57</v>
      </c>
      <c r="G44" s="65">
        <f>VLOOKUP(A44,'Matrix BZ'!$A$2:$C$16,3,1)</f>
        <v>5</v>
      </c>
      <c r="H44" s="359">
        <f t="shared" si="4"/>
        <v>56.513099999999994</v>
      </c>
      <c r="I44" s="352">
        <f>VLOOKUP(A44,'Matrix BZ'!$A$2:$C$16,2,1)</f>
        <v>0</v>
      </c>
      <c r="J44" s="104">
        <f t="shared" si="5"/>
        <v>0</v>
      </c>
      <c r="K44" s="66">
        <f>'StdVS Unterhaltsreinigung (UHR)'!$C$57</f>
        <v>0</v>
      </c>
      <c r="L44" s="105">
        <f t="shared" si="6"/>
        <v>0</v>
      </c>
      <c r="M44" s="105">
        <f t="shared" si="7"/>
        <v>0</v>
      </c>
      <c r="N44" s="110">
        <f t="shared" si="8"/>
        <v>0</v>
      </c>
      <c r="P44" s="10"/>
      <c r="Q44" s="10"/>
      <c r="R44" s="10"/>
      <c r="S44" s="10"/>
      <c r="T44" s="10"/>
    </row>
    <row r="45" spans="1:20" ht="12.75">
      <c r="A45" s="377" t="s">
        <v>313</v>
      </c>
      <c r="B45" s="65" t="s">
        <v>159</v>
      </c>
      <c r="C45" s="354" t="s">
        <v>173</v>
      </c>
      <c r="D45" s="65" t="s">
        <v>305</v>
      </c>
      <c r="E45" s="65">
        <v>190</v>
      </c>
      <c r="F45" s="346">
        <v>36.03</v>
      </c>
      <c r="G45" s="65">
        <f>VLOOKUP(A45,'Matrix BZ'!$A$2:$C$16,3,1)</f>
        <v>1</v>
      </c>
      <c r="H45" s="359">
        <f t="shared" si="4"/>
        <v>115.296</v>
      </c>
      <c r="I45" s="352">
        <f>VLOOKUP(A45,'Matrix BZ'!$A$2:$C$16,2,1)</f>
        <v>0</v>
      </c>
      <c r="J45" s="104">
        <f t="shared" si="5"/>
        <v>0</v>
      </c>
      <c r="K45" s="66">
        <f>'StdVS Unterhaltsreinigung (UHR)'!$C$57</f>
        <v>0</v>
      </c>
      <c r="L45" s="105">
        <f t="shared" si="6"/>
        <v>0</v>
      </c>
      <c r="M45" s="105">
        <f t="shared" si="7"/>
        <v>0</v>
      </c>
      <c r="N45" s="110">
        <f t="shared" si="8"/>
        <v>0</v>
      </c>
      <c r="P45" s="10"/>
      <c r="Q45" s="10"/>
      <c r="R45" s="10"/>
      <c r="S45" s="10"/>
      <c r="T45" s="10"/>
    </row>
    <row r="46" spans="1:20" ht="12.75">
      <c r="A46" s="377" t="s">
        <v>313</v>
      </c>
      <c r="B46" s="65" t="s">
        <v>159</v>
      </c>
      <c r="C46" s="354" t="s">
        <v>174</v>
      </c>
      <c r="D46" s="65" t="s">
        <v>305</v>
      </c>
      <c r="E46" s="65">
        <v>190</v>
      </c>
      <c r="F46" s="346">
        <v>77.17</v>
      </c>
      <c r="G46" s="65">
        <f>VLOOKUP(A46,'Matrix BZ'!$A$2:$C$16,3,1)</f>
        <v>1</v>
      </c>
      <c r="H46" s="359">
        <f t="shared" si="4"/>
        <v>246.94400000000002</v>
      </c>
      <c r="I46" s="352">
        <f>VLOOKUP(A46,'Matrix BZ'!$A$2:$C$16,2,1)</f>
        <v>0</v>
      </c>
      <c r="J46" s="104">
        <f t="shared" si="5"/>
        <v>0</v>
      </c>
      <c r="K46" s="66">
        <f>'StdVS Unterhaltsreinigung (UHR)'!$C$57</f>
        <v>0</v>
      </c>
      <c r="L46" s="105">
        <f t="shared" si="6"/>
        <v>0</v>
      </c>
      <c r="M46" s="105">
        <f t="shared" si="7"/>
        <v>0</v>
      </c>
      <c r="N46" s="110">
        <f t="shared" si="8"/>
        <v>0</v>
      </c>
      <c r="P46" s="10"/>
      <c r="Q46" s="10"/>
      <c r="R46" s="10"/>
      <c r="S46" s="10"/>
      <c r="T46" s="10"/>
    </row>
    <row r="47" spans="1:20" ht="12.75">
      <c r="A47" s="377" t="s">
        <v>314</v>
      </c>
      <c r="B47" s="65" t="s">
        <v>159</v>
      </c>
      <c r="C47" s="354" t="s">
        <v>175</v>
      </c>
      <c r="D47" s="65" t="s">
        <v>305</v>
      </c>
      <c r="E47" s="65">
        <v>190</v>
      </c>
      <c r="F47" s="346">
        <v>20.48</v>
      </c>
      <c r="G47" s="65">
        <f>VLOOKUP(A47,'Matrix BZ'!$A$2:$C$16,3,1)</f>
        <v>2.5</v>
      </c>
      <c r="H47" s="359">
        <f t="shared" si="4"/>
        <v>162.2016</v>
      </c>
      <c r="I47" s="352">
        <f>VLOOKUP(A47,'Matrix BZ'!$A$2:$C$16,2,1)</f>
        <v>0</v>
      </c>
      <c r="J47" s="104">
        <f t="shared" si="5"/>
        <v>0</v>
      </c>
      <c r="K47" s="66">
        <f>'StdVS Unterhaltsreinigung (UHR)'!$C$57</f>
        <v>0</v>
      </c>
      <c r="L47" s="105">
        <f t="shared" si="6"/>
        <v>0</v>
      </c>
      <c r="M47" s="105">
        <f t="shared" si="7"/>
        <v>0</v>
      </c>
      <c r="N47" s="110">
        <f t="shared" si="8"/>
        <v>0</v>
      </c>
      <c r="P47" s="10"/>
      <c r="Q47" s="10"/>
      <c r="R47" s="10"/>
      <c r="S47" s="10"/>
      <c r="T47" s="10"/>
    </row>
    <row r="48" spans="1:20" ht="12.75">
      <c r="A48" s="377" t="s">
        <v>320</v>
      </c>
      <c r="B48" s="65" t="s">
        <v>187</v>
      </c>
      <c r="C48" s="354" t="s">
        <v>176</v>
      </c>
      <c r="D48" s="548" t="s">
        <v>308</v>
      </c>
      <c r="E48" s="352">
        <v>210</v>
      </c>
      <c r="F48" s="347">
        <v>15.97</v>
      </c>
      <c r="G48" s="65">
        <f>VLOOKUP(A48,'Matrix BZ'!$A$2:$C$16,3,1)</f>
        <v>2.5</v>
      </c>
      <c r="H48" s="359">
        <f>SUM(F48*(IF(G48=1,3.5,(IF(G48=2,7,(IF(G48=2.5,8.75,(IF(G48=3,7.8,(IF(G48=5,17.5,(IF(G48=0.25,0.99,(IF(G48="2 x p.a.",0.17)))))))))))))))</f>
        <v>139.7375</v>
      </c>
      <c r="I48" s="352">
        <f>VLOOKUP(A48,'Matrix BZ'!$A$2:$C$16,2,1)</f>
        <v>0</v>
      </c>
      <c r="J48" s="104">
        <f t="shared" si="5"/>
        <v>0</v>
      </c>
      <c r="K48" s="66">
        <f>'StdVS Unterhaltsreinigung (UHR)'!$C$57</f>
        <v>0</v>
      </c>
      <c r="L48" s="105">
        <f t="shared" si="6"/>
        <v>0</v>
      </c>
      <c r="M48" s="105">
        <f t="shared" si="7"/>
        <v>0</v>
      </c>
      <c r="N48" s="110">
        <f t="shared" si="8"/>
        <v>0</v>
      </c>
      <c r="P48" s="10"/>
      <c r="Q48" s="10"/>
      <c r="R48" s="10"/>
      <c r="S48" s="10"/>
      <c r="T48" s="10"/>
    </row>
    <row r="49" spans="1:20" ht="12.75">
      <c r="A49" s="377" t="s">
        <v>314</v>
      </c>
      <c r="B49" s="65" t="s">
        <v>187</v>
      </c>
      <c r="C49" s="354" t="s">
        <v>68</v>
      </c>
      <c r="D49" s="548" t="s">
        <v>54</v>
      </c>
      <c r="E49" s="352">
        <v>210</v>
      </c>
      <c r="F49" s="347">
        <v>21.72</v>
      </c>
      <c r="G49" s="65">
        <f>VLOOKUP(A49,'Matrix BZ'!$A$2:$C$16,3,1)</f>
        <v>2.5</v>
      </c>
      <c r="H49" s="359">
        <f>SUM(F49*(IF(G49=1,3.5,(IF(G49=2,7,(IF(G49=2.5,8.75,(IF(G49=3,7.8,(IF(G49=5,17.5,(IF(G49=0.25,0.99,(IF(G49="2 x p.a.",0.17)))))))))))))))</f>
        <v>190.04999999999998</v>
      </c>
      <c r="I49" s="352">
        <f>VLOOKUP(A49,'Matrix BZ'!$A$2:$C$16,2,1)</f>
        <v>0</v>
      </c>
      <c r="J49" s="104">
        <f t="shared" si="5"/>
        <v>0</v>
      </c>
      <c r="K49" s="66">
        <f>'StdVS Unterhaltsreinigung (UHR)'!$C$57</f>
        <v>0</v>
      </c>
      <c r="L49" s="105">
        <f t="shared" si="6"/>
        <v>0</v>
      </c>
      <c r="M49" s="105">
        <f t="shared" si="7"/>
        <v>0</v>
      </c>
      <c r="N49" s="110">
        <f t="shared" si="8"/>
        <v>0</v>
      </c>
      <c r="P49" s="10"/>
      <c r="Q49" s="10"/>
      <c r="R49" s="10"/>
      <c r="S49" s="10"/>
      <c r="T49" s="10"/>
    </row>
    <row r="50" spans="1:20" ht="12.75">
      <c r="A50" s="377" t="s">
        <v>314</v>
      </c>
      <c r="B50" s="65" t="s">
        <v>187</v>
      </c>
      <c r="C50" s="354" t="s">
        <v>177</v>
      </c>
      <c r="D50" s="548" t="s">
        <v>276</v>
      </c>
      <c r="E50" s="65">
        <v>190</v>
      </c>
      <c r="F50" s="347">
        <v>11.09</v>
      </c>
      <c r="G50" s="65">
        <f>VLOOKUP(A50,'Matrix BZ'!$A$2:$C$16,3,1)</f>
        <v>2.5</v>
      </c>
      <c r="H50" s="359">
        <f>SUM(F50*(IF(G50=1,3.2,(IF(G50=2,6.33,(IF(G50=2.5,7.92,(IF(G50=3,7.8,(IF(G50=5,15.83,(IF(G50=0.25,0.99,(IF(G50="2 x p.a.",0.17)))))))))))))))</f>
        <v>87.83279999999999</v>
      </c>
      <c r="I50" s="352">
        <f>VLOOKUP(A50,'Matrix BZ'!$A$2:$C$16,2,1)</f>
        <v>0</v>
      </c>
      <c r="J50" s="104">
        <f t="shared" si="5"/>
        <v>0</v>
      </c>
      <c r="K50" s="66">
        <f>'StdVS Unterhaltsreinigung (UHR)'!$C$57</f>
        <v>0</v>
      </c>
      <c r="L50" s="105">
        <f t="shared" si="6"/>
        <v>0</v>
      </c>
      <c r="M50" s="105">
        <f t="shared" si="7"/>
        <v>0</v>
      </c>
      <c r="N50" s="110">
        <f t="shared" si="8"/>
        <v>0</v>
      </c>
      <c r="P50" s="10"/>
      <c r="Q50" s="10"/>
      <c r="R50" s="10"/>
      <c r="S50" s="10"/>
      <c r="T50" s="10"/>
    </row>
    <row r="51" spans="1:20" ht="12.75">
      <c r="A51" s="377" t="s">
        <v>35</v>
      </c>
      <c r="B51" s="65" t="s">
        <v>187</v>
      </c>
      <c r="C51" s="354" t="s">
        <v>178</v>
      </c>
      <c r="D51" s="548" t="s">
        <v>54</v>
      </c>
      <c r="E51" s="352">
        <v>210</v>
      </c>
      <c r="F51" s="347">
        <v>13.94</v>
      </c>
      <c r="G51" s="65">
        <f>VLOOKUP(A51,'Matrix BZ'!$A$2:$C$16,3,1)</f>
        <v>2.5</v>
      </c>
      <c r="H51" s="359">
        <f>SUM(F51*(IF(G51=1,3.5,(IF(G51=2,7,(IF(G51=2.5,8.75,(IF(G51=3,7.8,(IF(G51=5,17.5,(IF(G51=0.25,0.99,(IF(G51="2 x p.a.",0.17)))))))))))))))</f>
        <v>121.975</v>
      </c>
      <c r="I51" s="352">
        <f>VLOOKUP(A51,'Matrix BZ'!$A$2:$C$16,2,1)</f>
        <v>0</v>
      </c>
      <c r="J51" s="104">
        <f t="shared" si="5"/>
        <v>0</v>
      </c>
      <c r="K51" s="66">
        <f>'StdVS Unterhaltsreinigung (UHR)'!$C$57</f>
        <v>0</v>
      </c>
      <c r="L51" s="105">
        <f t="shared" si="6"/>
        <v>0</v>
      </c>
      <c r="M51" s="105">
        <f t="shared" si="7"/>
        <v>0</v>
      </c>
      <c r="N51" s="110">
        <f t="shared" si="8"/>
        <v>0</v>
      </c>
      <c r="P51" s="10"/>
      <c r="Q51" s="10"/>
      <c r="R51" s="10"/>
      <c r="S51" s="10"/>
      <c r="T51" s="10"/>
    </row>
    <row r="52" spans="1:20" ht="12.75">
      <c r="A52" s="377" t="s">
        <v>315</v>
      </c>
      <c r="B52" s="65" t="s">
        <v>187</v>
      </c>
      <c r="C52" s="373" t="s">
        <v>179</v>
      </c>
      <c r="D52" s="548" t="s">
        <v>276</v>
      </c>
      <c r="E52" s="65">
        <v>190</v>
      </c>
      <c r="F52" s="347">
        <v>99.38</v>
      </c>
      <c r="G52" s="65">
        <f>VLOOKUP(A52,'Matrix BZ'!$A$2:$C$16,3,1)</f>
        <v>5</v>
      </c>
      <c r="H52" s="359">
        <f>SUM(F52*(IF(G52=1,3.2,(IF(G52=2,6.33,(IF(G52=2.5,7.92,(IF(G52=3,7.8,(IF(G52=5,17.5,(IF(G52=0.25,0.99,(IF(G52="2 x p.a.",0.17)))))))))))))))</f>
        <v>1739.1499999999999</v>
      </c>
      <c r="I52" s="352">
        <f>VLOOKUP(A52,'Matrix BZ'!$A$2:$C$16,2,1)</f>
        <v>0</v>
      </c>
      <c r="J52" s="104">
        <f t="shared" si="5"/>
        <v>0</v>
      </c>
      <c r="K52" s="66">
        <f>'StdVS Unterhaltsreinigung (UHR)'!$C$57</f>
        <v>0</v>
      </c>
      <c r="L52" s="105">
        <f t="shared" si="6"/>
        <v>0</v>
      </c>
      <c r="M52" s="105">
        <f t="shared" si="7"/>
        <v>0</v>
      </c>
      <c r="N52" s="110">
        <f t="shared" si="8"/>
        <v>0</v>
      </c>
      <c r="P52" s="10"/>
      <c r="Q52" s="10"/>
      <c r="R52" s="10"/>
      <c r="S52" s="10"/>
      <c r="T52" s="10"/>
    </row>
    <row r="53" spans="1:20" ht="12.75">
      <c r="A53" s="377" t="s">
        <v>311</v>
      </c>
      <c r="B53" s="65" t="s">
        <v>187</v>
      </c>
      <c r="C53" s="373" t="s">
        <v>180</v>
      </c>
      <c r="D53" s="548" t="s">
        <v>276</v>
      </c>
      <c r="E53" s="126">
        <v>228</v>
      </c>
      <c r="F53" s="347">
        <v>122.45</v>
      </c>
      <c r="G53" s="65">
        <f>VLOOKUP(A53,'Matrix BZ'!$A$2:$C$16,3,1)</f>
        <v>2.5</v>
      </c>
      <c r="H53" s="359">
        <f>SUM(F53*(IF(G53=1,3.8,(IF(G53=2,7.6,(IF(G53=2.5,9.5,(IF(G53=3,7.8,(IF(G53=5,19,(IF(G53=0.25,1,(IF(G53="1 x m",1)))))))))))))))</f>
        <v>1163.275</v>
      </c>
      <c r="I53" s="352">
        <f>VLOOKUP(A53,'Matrix BZ'!$A$2:$C$16,2,1)</f>
        <v>0</v>
      </c>
      <c r="J53" s="104">
        <f t="shared" si="5"/>
        <v>0</v>
      </c>
      <c r="K53" s="66">
        <f>'StdVS Unterhaltsreinigung (UHR)'!$C$57</f>
        <v>0</v>
      </c>
      <c r="L53" s="105">
        <f t="shared" si="6"/>
        <v>0</v>
      </c>
      <c r="M53" s="105">
        <f t="shared" si="7"/>
        <v>0</v>
      </c>
      <c r="N53" s="110">
        <f t="shared" si="8"/>
        <v>0</v>
      </c>
      <c r="P53" s="10"/>
      <c r="Q53" s="10"/>
      <c r="R53" s="10"/>
      <c r="S53" s="10"/>
      <c r="T53" s="10"/>
    </row>
    <row r="54" spans="1:20" ht="12.75">
      <c r="A54" s="377" t="s">
        <v>312</v>
      </c>
      <c r="B54" s="65" t="s">
        <v>187</v>
      </c>
      <c r="C54" s="354" t="s">
        <v>181</v>
      </c>
      <c r="D54" s="548" t="s">
        <v>54</v>
      </c>
      <c r="E54" s="65">
        <v>190</v>
      </c>
      <c r="F54" s="347">
        <v>19.72</v>
      </c>
      <c r="G54" s="352">
        <v>1</v>
      </c>
      <c r="H54" s="359">
        <f>SUM(F54*(IF(G54=1,3.2,(IF(G54=2,6.33,(IF(G54=2.5,7.92,(IF(G54=3,7.8,(IF(G54=5,15.83,(IF(G54=0.25,0.99,(IF(G54="2 x p.a.",0.17)))))))))))))))</f>
        <v>63.104</v>
      </c>
      <c r="I54" s="352">
        <f>VLOOKUP(A54,'Matrix BZ'!$A$2:$C$16,2,1)</f>
        <v>0</v>
      </c>
      <c r="J54" s="104">
        <f t="shared" si="5"/>
        <v>0</v>
      </c>
      <c r="K54" s="66">
        <f>'StdVS Unterhaltsreinigung (UHR)'!$C$57</f>
        <v>0</v>
      </c>
      <c r="L54" s="105">
        <f t="shared" si="6"/>
        <v>0</v>
      </c>
      <c r="M54" s="105">
        <f t="shared" si="7"/>
        <v>0</v>
      </c>
      <c r="N54" s="110">
        <f t="shared" si="8"/>
        <v>0</v>
      </c>
      <c r="P54" s="10"/>
      <c r="Q54" s="10"/>
      <c r="R54" s="10"/>
      <c r="S54" s="10"/>
      <c r="T54" s="10"/>
    </row>
    <row r="55" spans="1:20" ht="12.75">
      <c r="A55" s="377" t="s">
        <v>311</v>
      </c>
      <c r="B55" s="65" t="s">
        <v>187</v>
      </c>
      <c r="C55" s="354" t="s">
        <v>182</v>
      </c>
      <c r="D55" s="548" t="s">
        <v>54</v>
      </c>
      <c r="E55" s="352">
        <v>210</v>
      </c>
      <c r="F55" s="347">
        <v>37.09</v>
      </c>
      <c r="G55" s="65">
        <f>VLOOKUP(A55,'Matrix BZ'!$A$2:$C$16,3,1)</f>
        <v>2.5</v>
      </c>
      <c r="H55" s="359">
        <f>SUM(F55*(IF(G55=1,3.5,(IF(G55=2,7,(IF(G55=2.5,8.75,(IF(G55=3,7.8,(IF(G55=5,17.5,(IF(G55=0.25,0.99,(IF(G55="2 x p.a.",0.17)))))))))))))))</f>
        <v>324.5375</v>
      </c>
      <c r="I55" s="352">
        <f>VLOOKUP(A55,'Matrix BZ'!$A$2:$C$16,2,1)</f>
        <v>0</v>
      </c>
      <c r="J55" s="104">
        <f t="shared" si="5"/>
        <v>0</v>
      </c>
      <c r="K55" s="66">
        <f>'StdVS Unterhaltsreinigung (UHR)'!$C$57</f>
        <v>0</v>
      </c>
      <c r="L55" s="105">
        <f t="shared" si="6"/>
        <v>0</v>
      </c>
      <c r="M55" s="105">
        <f t="shared" si="7"/>
        <v>0</v>
      </c>
      <c r="N55" s="110">
        <f t="shared" si="8"/>
        <v>0</v>
      </c>
      <c r="P55" s="10"/>
      <c r="Q55" s="10"/>
      <c r="R55" s="10"/>
      <c r="S55" s="10"/>
      <c r="T55" s="10"/>
    </row>
    <row r="56" spans="1:20" ht="12.75">
      <c r="A56" s="377" t="s">
        <v>311</v>
      </c>
      <c r="B56" s="65" t="s">
        <v>187</v>
      </c>
      <c r="C56" s="354" t="s">
        <v>183</v>
      </c>
      <c r="D56" s="548" t="s">
        <v>54</v>
      </c>
      <c r="E56" s="352">
        <v>210</v>
      </c>
      <c r="F56" s="347">
        <v>34.38</v>
      </c>
      <c r="G56" s="65">
        <f>VLOOKUP(A56,'Matrix BZ'!$A$2:$C$16,3,1)</f>
        <v>2.5</v>
      </c>
      <c r="H56" s="359">
        <f>SUM(F56*(IF(G56=1,3.5,(IF(G56=2,7,(IF(G56=2.5,8.75,(IF(G56=3,7.8,(IF(G56=5,17.5,(IF(G56=0.25,0.99,(IF(G56="2 x p.a.",0.17)))))))))))))))</f>
        <v>300.82500000000005</v>
      </c>
      <c r="I56" s="352">
        <f>VLOOKUP(A56,'Matrix BZ'!$A$2:$C$16,2,1)</f>
        <v>0</v>
      </c>
      <c r="J56" s="104">
        <f t="shared" si="5"/>
        <v>0</v>
      </c>
      <c r="K56" s="66">
        <f>'StdVS Unterhaltsreinigung (UHR)'!$C$57</f>
        <v>0</v>
      </c>
      <c r="L56" s="105">
        <f t="shared" si="6"/>
        <v>0</v>
      </c>
      <c r="M56" s="105">
        <f t="shared" si="7"/>
        <v>0</v>
      </c>
      <c r="N56" s="110">
        <f t="shared" si="8"/>
        <v>0</v>
      </c>
      <c r="P56" s="10"/>
      <c r="Q56" s="10"/>
      <c r="R56" s="10"/>
      <c r="S56" s="10"/>
      <c r="T56" s="10"/>
    </row>
    <row r="57" spans="1:20" ht="12.75">
      <c r="A57" s="377" t="s">
        <v>35</v>
      </c>
      <c r="B57" s="65" t="s">
        <v>187</v>
      </c>
      <c r="C57" s="354" t="s">
        <v>184</v>
      </c>
      <c r="D57" s="548" t="s">
        <v>276</v>
      </c>
      <c r="E57" s="65">
        <v>190</v>
      </c>
      <c r="F57" s="347">
        <v>6.61</v>
      </c>
      <c r="G57" s="65">
        <f>VLOOKUP(A57,'Matrix BZ'!$A$2:$C$16,3,1)</f>
        <v>2.5</v>
      </c>
      <c r="H57" s="359">
        <f>SUM(F57*(IF(G57=1,3.2,(IF(G57=2,6.33,(IF(G57=2.5,7.92,(IF(G57=3,7.8,(IF(G57=5,15.83,(IF(G57=0.25,0.99,(IF(G57="2 x p.a.",0.17)))))))))))))))</f>
        <v>52.3512</v>
      </c>
      <c r="I57" s="352">
        <f>VLOOKUP(A57,'Matrix BZ'!$A$2:$C$16,2,1)</f>
        <v>0</v>
      </c>
      <c r="J57" s="104">
        <f t="shared" si="5"/>
        <v>0</v>
      </c>
      <c r="K57" s="66">
        <f>'StdVS Unterhaltsreinigung (UHR)'!$C$57</f>
        <v>0</v>
      </c>
      <c r="L57" s="105">
        <f t="shared" si="6"/>
        <v>0</v>
      </c>
      <c r="M57" s="105">
        <f t="shared" si="7"/>
        <v>0</v>
      </c>
      <c r="N57" s="110">
        <f t="shared" si="8"/>
        <v>0</v>
      </c>
      <c r="P57" s="10"/>
      <c r="Q57" s="10"/>
      <c r="R57" s="10"/>
      <c r="S57" s="10"/>
      <c r="T57" s="10"/>
    </row>
    <row r="58" spans="1:20" ht="12.75">
      <c r="A58" s="377" t="s">
        <v>318</v>
      </c>
      <c r="B58" s="65" t="s">
        <v>187</v>
      </c>
      <c r="C58" s="354" t="s">
        <v>185</v>
      </c>
      <c r="D58" s="548" t="s">
        <v>54</v>
      </c>
      <c r="E58" s="65">
        <v>190</v>
      </c>
      <c r="F58" s="347">
        <v>3.94</v>
      </c>
      <c r="G58" s="65" t="str">
        <f>VLOOKUP(A58,'Matrix BZ'!$A$2:$C$16,3,1)</f>
        <v>1 x m</v>
      </c>
      <c r="H58" s="359">
        <f>SUM(F58*(IF(G58=1,3.16,(IF(G58=2,6.33,(IF(G58=2.5,7.92,(IF(G58=3,7.8,(IF(G58=5,15.83,(IF(G58=0.25,0.99,(IF(G58="1 x m",1)))))))))))))))</f>
        <v>3.94</v>
      </c>
      <c r="I58" s="352">
        <f>VLOOKUP(A58,'Matrix BZ'!$A$2:$C$16,2,1)</f>
        <v>0</v>
      </c>
      <c r="J58" s="104">
        <f t="shared" si="5"/>
        <v>0</v>
      </c>
      <c r="K58" s="66">
        <f>'StdVS Unterhaltsreinigung (UHR)'!$C$57</f>
        <v>0</v>
      </c>
      <c r="L58" s="105">
        <f t="shared" si="6"/>
        <v>0</v>
      </c>
      <c r="M58" s="105">
        <f t="shared" si="7"/>
        <v>0</v>
      </c>
      <c r="N58" s="110">
        <f t="shared" si="8"/>
        <v>0</v>
      </c>
      <c r="P58" s="10"/>
      <c r="Q58" s="10"/>
      <c r="R58" s="10"/>
      <c r="S58" s="10"/>
      <c r="T58" s="10"/>
    </row>
    <row r="59" spans="1:20" ht="12.75">
      <c r="A59" s="377" t="s">
        <v>314</v>
      </c>
      <c r="B59" s="65" t="s">
        <v>187</v>
      </c>
      <c r="C59" s="354" t="s">
        <v>186</v>
      </c>
      <c r="D59" s="548" t="s">
        <v>54</v>
      </c>
      <c r="E59" s="65">
        <v>190</v>
      </c>
      <c r="F59" s="347">
        <v>12.81</v>
      </c>
      <c r="G59" s="65">
        <f>VLOOKUP(A59,'Matrix BZ'!$A$2:$C$16,3,1)</f>
        <v>2.5</v>
      </c>
      <c r="H59" s="359">
        <f>SUM(F59*(IF(G59=1,3.2,(IF(G59=2,6.33,(IF(G59=2.5,7.92,(IF(G59=3,7.8,(IF(G59=5,15.83,(IF(G59=0.25,0.99,(IF(G59="2 x p.a.",0.17)))))))))))))))</f>
        <v>101.4552</v>
      </c>
      <c r="I59" s="352">
        <f>VLOOKUP(A59,'Matrix BZ'!$A$2:$C$16,2,1)</f>
        <v>0</v>
      </c>
      <c r="J59" s="104">
        <f t="shared" si="5"/>
        <v>0</v>
      </c>
      <c r="K59" s="66">
        <f>'StdVS Unterhaltsreinigung (UHR)'!$C$57</f>
        <v>0</v>
      </c>
      <c r="L59" s="105">
        <f t="shared" si="6"/>
        <v>0</v>
      </c>
      <c r="M59" s="105">
        <f t="shared" si="7"/>
        <v>0</v>
      </c>
      <c r="N59" s="110">
        <f t="shared" si="8"/>
        <v>0</v>
      </c>
      <c r="P59" s="10"/>
      <c r="Q59" s="10"/>
      <c r="R59" s="10"/>
      <c r="S59" s="10"/>
      <c r="T59" s="10"/>
    </row>
    <row r="60" spans="1:20" ht="12.75">
      <c r="A60" s="377" t="s">
        <v>59</v>
      </c>
      <c r="B60" s="65" t="s">
        <v>188</v>
      </c>
      <c r="C60" s="354" t="s">
        <v>189</v>
      </c>
      <c r="D60" s="548" t="s">
        <v>54</v>
      </c>
      <c r="E60" s="126">
        <v>228</v>
      </c>
      <c r="F60" s="348">
        <v>30.63</v>
      </c>
      <c r="G60" s="65">
        <f>VLOOKUP(A60,'Matrix BZ'!$A$2:$C$16,3,1)</f>
        <v>5</v>
      </c>
      <c r="H60" s="359">
        <f>SUM(F60*(IF(G60=1,3.8,(IF(G60=2,7.6,(IF(G60=2.5,9.5,(IF(G60=3,7.8,(IF(G60=5,19,(IF(G60=0.25,1,(IF(G60="1 x m",1)))))))))))))))</f>
        <v>581.97</v>
      </c>
      <c r="I60" s="352">
        <f>VLOOKUP(A60,'Matrix BZ'!$A$2:$C$16,2,1)</f>
        <v>0</v>
      </c>
      <c r="J60" s="104">
        <f t="shared" si="5"/>
        <v>0</v>
      </c>
      <c r="K60" s="66">
        <f>'StdVS Unterhaltsreinigung (UHR)'!$C$57</f>
        <v>0</v>
      </c>
      <c r="L60" s="105">
        <f t="shared" si="6"/>
        <v>0</v>
      </c>
      <c r="M60" s="105">
        <f t="shared" si="7"/>
        <v>0</v>
      </c>
      <c r="N60" s="110">
        <f t="shared" si="8"/>
        <v>0</v>
      </c>
      <c r="P60" s="10"/>
      <c r="Q60" s="10"/>
      <c r="R60" s="10"/>
      <c r="S60" s="10"/>
      <c r="T60" s="10"/>
    </row>
    <row r="61" spans="1:20" ht="12.75">
      <c r="A61" s="377" t="s">
        <v>59</v>
      </c>
      <c r="B61" s="65" t="s">
        <v>188</v>
      </c>
      <c r="C61" s="354" t="s">
        <v>190</v>
      </c>
      <c r="D61" s="548" t="s">
        <v>54</v>
      </c>
      <c r="E61" s="126">
        <v>228</v>
      </c>
      <c r="F61" s="348">
        <v>21.9</v>
      </c>
      <c r="G61" s="65">
        <f>VLOOKUP(A61,'Matrix BZ'!$A$2:$C$16,3,1)</f>
        <v>5</v>
      </c>
      <c r="H61" s="359">
        <f aca="true" t="shared" si="9" ref="H61:H82">SUM(F61*(IF(G61=1,3.8,(IF(G61=2,7.6,(IF(G61=2.5,9.5,(IF(G61=3,7.8,(IF(G61=5,19,(IF(G61=0.25,1,(IF(G61="1 x m",1)))))))))))))))</f>
        <v>416.09999999999997</v>
      </c>
      <c r="I61" s="352">
        <f>VLOOKUP(A61,'Matrix BZ'!$A$2:$C$16,2,1)</f>
        <v>0</v>
      </c>
      <c r="J61" s="104">
        <f t="shared" si="5"/>
        <v>0</v>
      </c>
      <c r="K61" s="66">
        <f>'StdVS Unterhaltsreinigung (UHR)'!$C$57</f>
        <v>0</v>
      </c>
      <c r="L61" s="105">
        <f t="shared" si="6"/>
        <v>0</v>
      </c>
      <c r="M61" s="105">
        <f t="shared" si="7"/>
        <v>0</v>
      </c>
      <c r="N61" s="110">
        <f t="shared" si="8"/>
        <v>0</v>
      </c>
      <c r="P61" s="10"/>
      <c r="Q61" s="10"/>
      <c r="R61" s="10"/>
      <c r="S61" s="10"/>
      <c r="T61" s="10"/>
    </row>
    <row r="62" spans="1:20" ht="12.75">
      <c r="A62" s="377" t="s">
        <v>314</v>
      </c>
      <c r="B62" s="65" t="s">
        <v>188</v>
      </c>
      <c r="C62" s="354" t="s">
        <v>191</v>
      </c>
      <c r="D62" s="548" t="s">
        <v>54</v>
      </c>
      <c r="E62" s="126">
        <v>228</v>
      </c>
      <c r="F62" s="348">
        <v>72.92</v>
      </c>
      <c r="G62" s="352">
        <v>5</v>
      </c>
      <c r="H62" s="359">
        <f t="shared" si="9"/>
        <v>1385.48</v>
      </c>
      <c r="I62" s="352">
        <f>VLOOKUP(A62,'Matrix BZ'!$A$2:$C$16,2,1)</f>
        <v>0</v>
      </c>
      <c r="J62" s="104">
        <f t="shared" si="5"/>
        <v>0</v>
      </c>
      <c r="K62" s="66">
        <f>'StdVS Unterhaltsreinigung (UHR)'!$C$57</f>
        <v>0</v>
      </c>
      <c r="L62" s="105">
        <f t="shared" si="6"/>
        <v>0</v>
      </c>
      <c r="M62" s="105">
        <f t="shared" si="7"/>
        <v>0</v>
      </c>
      <c r="N62" s="110">
        <f t="shared" si="8"/>
        <v>0</v>
      </c>
      <c r="P62" s="10"/>
      <c r="Q62" s="10"/>
      <c r="R62" s="10"/>
      <c r="S62" s="10"/>
      <c r="T62" s="10"/>
    </row>
    <row r="63" spans="1:20" ht="12.75">
      <c r="A63" s="377" t="s">
        <v>314</v>
      </c>
      <c r="B63" s="65" t="s">
        <v>188</v>
      </c>
      <c r="C63" s="373" t="s">
        <v>192</v>
      </c>
      <c r="D63" s="548" t="s">
        <v>22</v>
      </c>
      <c r="E63" s="126">
        <v>228</v>
      </c>
      <c r="F63" s="348">
        <v>10.58</v>
      </c>
      <c r="G63" s="352">
        <v>5</v>
      </c>
      <c r="H63" s="359">
        <f t="shared" si="9"/>
        <v>201.02</v>
      </c>
      <c r="I63" s="352">
        <f>VLOOKUP(A63,'Matrix BZ'!$A$2:$C$16,2,1)</f>
        <v>0</v>
      </c>
      <c r="J63" s="104">
        <f t="shared" si="5"/>
        <v>0</v>
      </c>
      <c r="K63" s="66">
        <f>'StdVS Unterhaltsreinigung (UHR)'!$C$57</f>
        <v>0</v>
      </c>
      <c r="L63" s="105">
        <f t="shared" si="6"/>
        <v>0</v>
      </c>
      <c r="M63" s="105">
        <f t="shared" si="7"/>
        <v>0</v>
      </c>
      <c r="N63" s="110">
        <f t="shared" si="8"/>
        <v>0</v>
      </c>
      <c r="P63" s="10"/>
      <c r="Q63" s="10"/>
      <c r="R63" s="10"/>
      <c r="S63" s="10"/>
      <c r="T63" s="10"/>
    </row>
    <row r="64" spans="1:20" ht="12.75">
      <c r="A64" s="377" t="s">
        <v>59</v>
      </c>
      <c r="B64" s="65" t="s">
        <v>188</v>
      </c>
      <c r="C64" s="373" t="s">
        <v>193</v>
      </c>
      <c r="D64" s="548" t="s">
        <v>54</v>
      </c>
      <c r="E64" s="126">
        <v>228</v>
      </c>
      <c r="F64" s="348">
        <v>44.7</v>
      </c>
      <c r="G64" s="65">
        <f>VLOOKUP(A64,'Matrix BZ'!$A$2:$C$16,3,1)</f>
        <v>5</v>
      </c>
      <c r="H64" s="359">
        <f t="shared" si="9"/>
        <v>849.3000000000001</v>
      </c>
      <c r="I64" s="352">
        <f>VLOOKUP(A64,'Matrix BZ'!$A$2:$C$16,2,1)</f>
        <v>0</v>
      </c>
      <c r="J64" s="104">
        <f t="shared" si="5"/>
        <v>0</v>
      </c>
      <c r="K64" s="66">
        <f>'StdVS Unterhaltsreinigung (UHR)'!$C$57</f>
        <v>0</v>
      </c>
      <c r="L64" s="105">
        <f t="shared" si="6"/>
        <v>0</v>
      </c>
      <c r="M64" s="105">
        <f t="shared" si="7"/>
        <v>0</v>
      </c>
      <c r="N64" s="110">
        <f t="shared" si="8"/>
        <v>0</v>
      </c>
      <c r="P64" s="10"/>
      <c r="Q64" s="10"/>
      <c r="R64" s="10"/>
      <c r="S64" s="10"/>
      <c r="T64" s="10"/>
    </row>
    <row r="65" spans="1:20" ht="12.75">
      <c r="A65" s="377" t="s">
        <v>59</v>
      </c>
      <c r="B65" s="65" t="s">
        <v>188</v>
      </c>
      <c r="C65" s="354" t="s">
        <v>194</v>
      </c>
      <c r="D65" s="548" t="s">
        <v>54</v>
      </c>
      <c r="E65" s="126">
        <v>228</v>
      </c>
      <c r="F65" s="348">
        <v>22.31</v>
      </c>
      <c r="G65" s="65">
        <f>VLOOKUP(A65,'Matrix BZ'!$A$2:$C$16,3,1)</f>
        <v>5</v>
      </c>
      <c r="H65" s="359">
        <f t="shared" si="9"/>
        <v>423.89</v>
      </c>
      <c r="I65" s="352">
        <f>VLOOKUP(A65,'Matrix BZ'!$A$2:$C$16,2,1)</f>
        <v>0</v>
      </c>
      <c r="J65" s="104">
        <f t="shared" si="5"/>
        <v>0</v>
      </c>
      <c r="K65" s="66">
        <f>'StdVS Unterhaltsreinigung (UHR)'!$C$57</f>
        <v>0</v>
      </c>
      <c r="L65" s="105">
        <f t="shared" si="6"/>
        <v>0</v>
      </c>
      <c r="M65" s="105">
        <f t="shared" si="7"/>
        <v>0</v>
      </c>
      <c r="N65" s="110">
        <f t="shared" si="8"/>
        <v>0</v>
      </c>
      <c r="P65" s="10"/>
      <c r="Q65" s="10"/>
      <c r="R65" s="10"/>
      <c r="S65" s="10"/>
      <c r="T65" s="10"/>
    </row>
    <row r="66" spans="1:20" ht="12.75">
      <c r="A66" s="377" t="s">
        <v>35</v>
      </c>
      <c r="B66" s="65" t="s">
        <v>188</v>
      </c>
      <c r="C66" s="354" t="s">
        <v>157</v>
      </c>
      <c r="D66" s="548" t="s">
        <v>276</v>
      </c>
      <c r="E66" s="126">
        <v>228</v>
      </c>
      <c r="F66" s="348">
        <v>5.22</v>
      </c>
      <c r="G66" s="352">
        <v>5</v>
      </c>
      <c r="H66" s="359">
        <f t="shared" si="9"/>
        <v>99.17999999999999</v>
      </c>
      <c r="I66" s="352">
        <f>VLOOKUP(A66,'Matrix BZ'!$A$2:$C$16,2,1)</f>
        <v>0</v>
      </c>
      <c r="J66" s="104">
        <f t="shared" si="5"/>
        <v>0</v>
      </c>
      <c r="K66" s="66">
        <f>'StdVS Unterhaltsreinigung (UHR)'!$C$57</f>
        <v>0</v>
      </c>
      <c r="L66" s="105">
        <f t="shared" si="6"/>
        <v>0</v>
      </c>
      <c r="M66" s="105">
        <f t="shared" si="7"/>
        <v>0</v>
      </c>
      <c r="N66" s="110">
        <f t="shared" si="8"/>
        <v>0</v>
      </c>
      <c r="P66" s="10"/>
      <c r="Q66" s="10"/>
      <c r="R66" s="10"/>
      <c r="S66" s="10"/>
      <c r="T66" s="10"/>
    </row>
    <row r="67" spans="1:20" ht="12.75">
      <c r="A67" s="377" t="s">
        <v>59</v>
      </c>
      <c r="B67" s="65" t="s">
        <v>188</v>
      </c>
      <c r="C67" s="354" t="s">
        <v>195</v>
      </c>
      <c r="D67" s="548" t="s">
        <v>54</v>
      </c>
      <c r="E67" s="126">
        <v>228</v>
      </c>
      <c r="F67" s="348">
        <v>41.83</v>
      </c>
      <c r="G67" s="65">
        <f>VLOOKUP(A67,'Matrix BZ'!$A$2:$C$16,3,1)</f>
        <v>5</v>
      </c>
      <c r="H67" s="359">
        <f t="shared" si="9"/>
        <v>794.77</v>
      </c>
      <c r="I67" s="352">
        <f>VLOOKUP(A67,'Matrix BZ'!$A$2:$C$16,2,1)</f>
        <v>0</v>
      </c>
      <c r="J67" s="104">
        <f t="shared" si="5"/>
        <v>0</v>
      </c>
      <c r="K67" s="66">
        <f>'StdVS Unterhaltsreinigung (UHR)'!$C$57</f>
        <v>0</v>
      </c>
      <c r="L67" s="105">
        <f t="shared" si="6"/>
        <v>0</v>
      </c>
      <c r="M67" s="105">
        <f t="shared" si="7"/>
        <v>0</v>
      </c>
      <c r="N67" s="110">
        <f t="shared" si="8"/>
        <v>0</v>
      </c>
      <c r="P67" s="10"/>
      <c r="Q67" s="10"/>
      <c r="R67" s="10"/>
      <c r="S67" s="10"/>
      <c r="T67" s="10"/>
    </row>
    <row r="68" spans="1:20" ht="12.75">
      <c r="A68" s="377" t="s">
        <v>59</v>
      </c>
      <c r="B68" s="65" t="s">
        <v>188</v>
      </c>
      <c r="C68" s="354" t="s">
        <v>196</v>
      </c>
      <c r="D68" s="548" t="s">
        <v>54</v>
      </c>
      <c r="E68" s="126">
        <v>228</v>
      </c>
      <c r="F68" s="348">
        <v>24.53</v>
      </c>
      <c r="G68" s="65">
        <f>VLOOKUP(A68,'Matrix BZ'!$A$2:$C$16,3,1)</f>
        <v>5</v>
      </c>
      <c r="H68" s="359">
        <f t="shared" si="9"/>
        <v>466.07000000000005</v>
      </c>
      <c r="I68" s="352">
        <f>VLOOKUP(A68,'Matrix BZ'!$A$2:$C$16,2,1)</f>
        <v>0</v>
      </c>
      <c r="J68" s="104">
        <f t="shared" si="5"/>
        <v>0</v>
      </c>
      <c r="K68" s="66">
        <f>'StdVS Unterhaltsreinigung (UHR)'!$C$57</f>
        <v>0</v>
      </c>
      <c r="L68" s="105">
        <f t="shared" si="6"/>
        <v>0</v>
      </c>
      <c r="M68" s="105">
        <f t="shared" si="7"/>
        <v>0</v>
      </c>
      <c r="N68" s="110">
        <f t="shared" si="8"/>
        <v>0</v>
      </c>
      <c r="P68" s="10"/>
      <c r="Q68" s="10"/>
      <c r="R68" s="10"/>
      <c r="S68" s="10"/>
      <c r="T68" s="10"/>
    </row>
    <row r="69" spans="1:20" ht="12.75">
      <c r="A69" s="377" t="s">
        <v>320</v>
      </c>
      <c r="B69" s="65" t="s">
        <v>188</v>
      </c>
      <c r="C69" s="354" t="s">
        <v>197</v>
      </c>
      <c r="D69" s="548" t="s">
        <v>308</v>
      </c>
      <c r="E69" s="126">
        <v>228</v>
      </c>
      <c r="F69" s="348">
        <v>10.3</v>
      </c>
      <c r="G69" s="352">
        <v>5</v>
      </c>
      <c r="H69" s="359">
        <f t="shared" si="9"/>
        <v>195.70000000000002</v>
      </c>
      <c r="I69" s="352">
        <f>VLOOKUP(A69,'Matrix BZ'!$A$2:$C$16,2,1)</f>
        <v>0</v>
      </c>
      <c r="J69" s="104">
        <f t="shared" si="5"/>
        <v>0</v>
      </c>
      <c r="K69" s="66">
        <f>'StdVS Unterhaltsreinigung (UHR)'!$C$57</f>
        <v>0</v>
      </c>
      <c r="L69" s="105">
        <f t="shared" si="6"/>
        <v>0</v>
      </c>
      <c r="M69" s="105">
        <f t="shared" si="7"/>
        <v>0</v>
      </c>
      <c r="N69" s="110">
        <f t="shared" si="8"/>
        <v>0</v>
      </c>
      <c r="P69" s="10"/>
      <c r="Q69" s="10"/>
      <c r="R69" s="10"/>
      <c r="S69" s="10"/>
      <c r="T69" s="10"/>
    </row>
    <row r="70" spans="1:20" ht="12.75">
      <c r="A70" s="377" t="s">
        <v>312</v>
      </c>
      <c r="B70" s="65" t="s">
        <v>188</v>
      </c>
      <c r="C70" s="354" t="s">
        <v>198</v>
      </c>
      <c r="D70" s="548" t="s">
        <v>54</v>
      </c>
      <c r="E70" s="126">
        <v>228</v>
      </c>
      <c r="F70" s="348">
        <v>15.76</v>
      </c>
      <c r="G70" s="65">
        <f>VLOOKUP(A70,'Matrix BZ'!$A$2:$C$16,3,1)</f>
        <v>2</v>
      </c>
      <c r="H70" s="359">
        <f t="shared" si="9"/>
        <v>119.776</v>
      </c>
      <c r="I70" s="352">
        <f>VLOOKUP(A70,'Matrix BZ'!$A$2:$C$16,2,1)</f>
        <v>0</v>
      </c>
      <c r="J70" s="104">
        <f t="shared" si="5"/>
        <v>0</v>
      </c>
      <c r="K70" s="66">
        <f>'StdVS Unterhaltsreinigung (UHR)'!$C$57</f>
        <v>0</v>
      </c>
      <c r="L70" s="105">
        <f t="shared" si="6"/>
        <v>0</v>
      </c>
      <c r="M70" s="105">
        <f t="shared" si="7"/>
        <v>0</v>
      </c>
      <c r="N70" s="110">
        <f t="shared" si="8"/>
        <v>0</v>
      </c>
      <c r="P70" s="10"/>
      <c r="Q70" s="10"/>
      <c r="R70" s="10"/>
      <c r="S70" s="10"/>
      <c r="T70" s="10"/>
    </row>
    <row r="71" spans="1:20" ht="12.75">
      <c r="A71" s="377" t="s">
        <v>311</v>
      </c>
      <c r="B71" s="65" t="s">
        <v>188</v>
      </c>
      <c r="C71" s="354" t="s">
        <v>199</v>
      </c>
      <c r="D71" s="548" t="s">
        <v>54</v>
      </c>
      <c r="E71" s="126">
        <v>228</v>
      </c>
      <c r="F71" s="348">
        <v>15.41</v>
      </c>
      <c r="G71" s="65">
        <f>VLOOKUP(A71,'Matrix BZ'!$A$2:$C$16,3,1)</f>
        <v>2.5</v>
      </c>
      <c r="H71" s="359">
        <f t="shared" si="9"/>
        <v>146.395</v>
      </c>
      <c r="I71" s="352">
        <f>VLOOKUP(A71,'Matrix BZ'!$A$2:$C$16,2,1)</f>
        <v>0</v>
      </c>
      <c r="J71" s="104">
        <f t="shared" si="5"/>
        <v>0</v>
      </c>
      <c r="K71" s="66">
        <f>'StdVS Unterhaltsreinigung (UHR)'!$C$57</f>
        <v>0</v>
      </c>
      <c r="L71" s="105">
        <f t="shared" si="6"/>
        <v>0</v>
      </c>
      <c r="M71" s="105">
        <f t="shared" si="7"/>
        <v>0</v>
      </c>
      <c r="N71" s="110">
        <f t="shared" si="8"/>
        <v>0</v>
      </c>
      <c r="P71" s="10"/>
      <c r="Q71" s="10"/>
      <c r="R71" s="10"/>
      <c r="S71" s="10"/>
      <c r="T71" s="10"/>
    </row>
    <row r="72" spans="1:20" ht="12.75">
      <c r="A72" s="377" t="s">
        <v>314</v>
      </c>
      <c r="B72" s="65" t="s">
        <v>188</v>
      </c>
      <c r="C72" s="354" t="s">
        <v>200</v>
      </c>
      <c r="D72" s="548" t="s">
        <v>54</v>
      </c>
      <c r="E72" s="126">
        <v>228</v>
      </c>
      <c r="F72" s="348">
        <v>31.52</v>
      </c>
      <c r="G72" s="65">
        <f>VLOOKUP(A72,'Matrix BZ'!$A$2:$C$16,3,1)</f>
        <v>2.5</v>
      </c>
      <c r="H72" s="359">
        <f t="shared" si="9"/>
        <v>299.44</v>
      </c>
      <c r="I72" s="352">
        <f>VLOOKUP(A72,'Matrix BZ'!$A$2:$C$16,2,1)</f>
        <v>0</v>
      </c>
      <c r="J72" s="104">
        <f aca="true" t="shared" si="10" ref="J72:J82">IF(I72&gt;0,SUM(H72/I72),0)</f>
        <v>0</v>
      </c>
      <c r="K72" s="66">
        <f>'StdVS Unterhaltsreinigung (UHR)'!$C$57</f>
        <v>0</v>
      </c>
      <c r="L72" s="105">
        <f aca="true" t="shared" si="11" ref="L72:L82">SUM(J72*K72)</f>
        <v>0</v>
      </c>
      <c r="M72" s="105">
        <f aca="true" t="shared" si="12" ref="M72:M83">L72*12</f>
        <v>0</v>
      </c>
      <c r="N72" s="110">
        <f aca="true" t="shared" si="13" ref="N72:N82">IF(H72&gt;0,L72/H72,0)</f>
        <v>0</v>
      </c>
      <c r="P72" s="10"/>
      <c r="Q72" s="10"/>
      <c r="R72" s="10"/>
      <c r="S72" s="10"/>
      <c r="T72" s="10"/>
    </row>
    <row r="73" spans="1:20" ht="12.75">
      <c r="A73" s="377" t="s">
        <v>315</v>
      </c>
      <c r="B73" s="65" t="s">
        <v>188</v>
      </c>
      <c r="C73" s="354" t="s">
        <v>201</v>
      </c>
      <c r="D73" s="548" t="s">
        <v>54</v>
      </c>
      <c r="E73" s="126">
        <v>228</v>
      </c>
      <c r="F73" s="348">
        <v>23.39</v>
      </c>
      <c r="G73" s="65">
        <f>VLOOKUP(A73,'Matrix BZ'!$A$2:$C$16,3,1)</f>
        <v>5</v>
      </c>
      <c r="H73" s="359">
        <f t="shared" si="9"/>
        <v>444.41</v>
      </c>
      <c r="I73" s="352">
        <f>VLOOKUP(A73,'Matrix BZ'!$A$2:$C$16,2,1)</f>
        <v>0</v>
      </c>
      <c r="J73" s="104">
        <f t="shared" si="10"/>
        <v>0</v>
      </c>
      <c r="K73" s="66">
        <f>'StdVS Unterhaltsreinigung (UHR)'!$C$57</f>
        <v>0</v>
      </c>
      <c r="L73" s="105">
        <f t="shared" si="11"/>
        <v>0</v>
      </c>
      <c r="M73" s="105">
        <f t="shared" si="12"/>
        <v>0</v>
      </c>
      <c r="N73" s="110">
        <f t="shared" si="13"/>
        <v>0</v>
      </c>
      <c r="P73" s="10"/>
      <c r="Q73" s="10"/>
      <c r="R73" s="10"/>
      <c r="S73" s="10"/>
      <c r="T73" s="10"/>
    </row>
    <row r="74" spans="1:20" ht="12.75">
      <c r="A74" s="377" t="s">
        <v>318</v>
      </c>
      <c r="B74" s="65" t="s">
        <v>188</v>
      </c>
      <c r="C74" s="354" t="s">
        <v>202</v>
      </c>
      <c r="D74" s="548" t="s">
        <v>276</v>
      </c>
      <c r="E74" s="126">
        <v>228</v>
      </c>
      <c r="F74" s="348">
        <v>19.44</v>
      </c>
      <c r="G74" s="65" t="str">
        <f>VLOOKUP(A74,'Matrix BZ'!$A$2:$C$16,3,1)</f>
        <v>1 x m</v>
      </c>
      <c r="H74" s="359">
        <f t="shared" si="9"/>
        <v>19.44</v>
      </c>
      <c r="I74" s="352">
        <f>VLOOKUP(A74,'Matrix BZ'!$A$2:$C$16,2,1)</f>
        <v>0</v>
      </c>
      <c r="J74" s="104">
        <f t="shared" si="10"/>
        <v>0</v>
      </c>
      <c r="K74" s="66">
        <f>'StdVS Unterhaltsreinigung (UHR)'!$C$57</f>
        <v>0</v>
      </c>
      <c r="L74" s="105">
        <f t="shared" si="11"/>
        <v>0</v>
      </c>
      <c r="M74" s="105">
        <f t="shared" si="12"/>
        <v>0</v>
      </c>
      <c r="N74" s="110">
        <f t="shared" si="13"/>
        <v>0</v>
      </c>
      <c r="P74" s="10"/>
      <c r="Q74" s="10"/>
      <c r="R74" s="10"/>
      <c r="S74" s="10"/>
      <c r="T74" s="10"/>
    </row>
    <row r="75" spans="1:20" ht="12.75">
      <c r="A75" s="377" t="s">
        <v>314</v>
      </c>
      <c r="B75" s="65" t="s">
        <v>188</v>
      </c>
      <c r="C75" s="354" t="s">
        <v>203</v>
      </c>
      <c r="D75" s="548" t="s">
        <v>54</v>
      </c>
      <c r="E75" s="126">
        <v>228</v>
      </c>
      <c r="F75" s="348">
        <v>14.73</v>
      </c>
      <c r="G75" s="65">
        <f>VLOOKUP(A75,'Matrix BZ'!$A$2:$C$16,3,1)</f>
        <v>2.5</v>
      </c>
      <c r="H75" s="359">
        <f t="shared" si="9"/>
        <v>139.935</v>
      </c>
      <c r="I75" s="352">
        <f>VLOOKUP(A75,'Matrix BZ'!$A$2:$C$16,2,1)</f>
        <v>0</v>
      </c>
      <c r="J75" s="104">
        <f t="shared" si="10"/>
        <v>0</v>
      </c>
      <c r="K75" s="66">
        <f>'StdVS Unterhaltsreinigung (UHR)'!$C$57</f>
        <v>0</v>
      </c>
      <c r="L75" s="105">
        <f t="shared" si="11"/>
        <v>0</v>
      </c>
      <c r="M75" s="105">
        <f t="shared" si="12"/>
        <v>0</v>
      </c>
      <c r="N75" s="110">
        <f t="shared" si="13"/>
        <v>0</v>
      </c>
      <c r="P75" s="10"/>
      <c r="Q75" s="10"/>
      <c r="R75" s="10"/>
      <c r="S75" s="10"/>
      <c r="T75" s="10"/>
    </row>
    <row r="76" spans="1:20" ht="12.75">
      <c r="A76" s="377" t="s">
        <v>38</v>
      </c>
      <c r="B76" s="65" t="s">
        <v>188</v>
      </c>
      <c r="C76" s="354" t="s">
        <v>78</v>
      </c>
      <c r="D76" s="548" t="s">
        <v>22</v>
      </c>
      <c r="E76" s="126">
        <v>228</v>
      </c>
      <c r="F76" s="348">
        <v>6.24</v>
      </c>
      <c r="G76" s="65">
        <f>VLOOKUP(A76,'Matrix BZ'!$A$2:$C$16,3,1)</f>
        <v>5</v>
      </c>
      <c r="H76" s="359">
        <f t="shared" si="9"/>
        <v>118.56</v>
      </c>
      <c r="I76" s="352">
        <f>VLOOKUP(A76,'Matrix BZ'!$A$2:$C$16,2,1)</f>
        <v>0</v>
      </c>
      <c r="J76" s="104">
        <f t="shared" si="10"/>
        <v>0</v>
      </c>
      <c r="K76" s="66">
        <f>'StdVS Unterhaltsreinigung (UHR)'!$C$57</f>
        <v>0</v>
      </c>
      <c r="L76" s="105">
        <f t="shared" si="11"/>
        <v>0</v>
      </c>
      <c r="M76" s="105">
        <f t="shared" si="12"/>
        <v>0</v>
      </c>
      <c r="N76" s="110">
        <f t="shared" si="13"/>
        <v>0</v>
      </c>
      <c r="P76" s="10"/>
      <c r="Q76" s="10"/>
      <c r="R76" s="10"/>
      <c r="S76" s="10"/>
      <c r="T76" s="10"/>
    </row>
    <row r="77" spans="1:20" ht="12.75">
      <c r="A77" s="377" t="s">
        <v>38</v>
      </c>
      <c r="B77" s="65" t="s">
        <v>188</v>
      </c>
      <c r="C77" s="354" t="s">
        <v>41</v>
      </c>
      <c r="D77" s="548" t="s">
        <v>22</v>
      </c>
      <c r="E77" s="126">
        <v>228</v>
      </c>
      <c r="F77" s="348">
        <v>2.19</v>
      </c>
      <c r="G77" s="65">
        <f>VLOOKUP(A77,'Matrix BZ'!$A$2:$C$16,3,1)</f>
        <v>5</v>
      </c>
      <c r="H77" s="359">
        <f t="shared" si="9"/>
        <v>41.61</v>
      </c>
      <c r="I77" s="352">
        <f>VLOOKUP(A77,'Matrix BZ'!$A$2:$C$16,2,1)</f>
        <v>0</v>
      </c>
      <c r="J77" s="104">
        <f t="shared" si="10"/>
        <v>0</v>
      </c>
      <c r="K77" s="66">
        <f>'StdVS Unterhaltsreinigung (UHR)'!$C$57</f>
        <v>0</v>
      </c>
      <c r="L77" s="105">
        <f t="shared" si="11"/>
        <v>0</v>
      </c>
      <c r="M77" s="105">
        <f t="shared" si="12"/>
        <v>0</v>
      </c>
      <c r="N77" s="110">
        <f t="shared" si="13"/>
        <v>0</v>
      </c>
      <c r="P77" s="10"/>
      <c r="Q77" s="10"/>
      <c r="R77" s="10"/>
      <c r="S77" s="10"/>
      <c r="T77" s="10"/>
    </row>
    <row r="78" spans="1:20" ht="12.75">
      <c r="A78" s="377" t="s">
        <v>318</v>
      </c>
      <c r="B78" s="65" t="s">
        <v>188</v>
      </c>
      <c r="C78" s="354" t="s">
        <v>204</v>
      </c>
      <c r="D78" s="548" t="s">
        <v>54</v>
      </c>
      <c r="E78" s="126">
        <v>228</v>
      </c>
      <c r="F78" s="348">
        <v>19.15</v>
      </c>
      <c r="G78" s="65" t="str">
        <f>VLOOKUP(A78,'Matrix BZ'!$A$2:$C$16,3,1)</f>
        <v>1 x m</v>
      </c>
      <c r="H78" s="359">
        <f t="shared" si="9"/>
        <v>19.15</v>
      </c>
      <c r="I78" s="352">
        <f>VLOOKUP(A78,'Matrix BZ'!$A$2:$C$16,2,1)</f>
        <v>0</v>
      </c>
      <c r="J78" s="104">
        <f t="shared" si="10"/>
        <v>0</v>
      </c>
      <c r="K78" s="66">
        <f>'StdVS Unterhaltsreinigung (UHR)'!$C$57</f>
        <v>0</v>
      </c>
      <c r="L78" s="105">
        <f t="shared" si="11"/>
        <v>0</v>
      </c>
      <c r="M78" s="105">
        <f t="shared" si="12"/>
        <v>0</v>
      </c>
      <c r="N78" s="110">
        <f t="shared" si="13"/>
        <v>0</v>
      </c>
      <c r="P78" s="10"/>
      <c r="Q78" s="10"/>
      <c r="R78" s="10"/>
      <c r="S78" s="10"/>
      <c r="T78" s="10"/>
    </row>
    <row r="79" spans="1:20" ht="12.75">
      <c r="A79" s="377" t="s">
        <v>38</v>
      </c>
      <c r="B79" s="65" t="s">
        <v>188</v>
      </c>
      <c r="C79" s="354" t="s">
        <v>205</v>
      </c>
      <c r="D79" s="548" t="s">
        <v>22</v>
      </c>
      <c r="E79" s="126">
        <v>228</v>
      </c>
      <c r="F79" s="348">
        <v>20.53</v>
      </c>
      <c r="G79" s="65">
        <f>VLOOKUP(A79,'Matrix BZ'!$A$2:$C$16,3,1)</f>
        <v>5</v>
      </c>
      <c r="H79" s="359">
        <f t="shared" si="9"/>
        <v>390.07000000000005</v>
      </c>
      <c r="I79" s="352">
        <f>VLOOKUP(A79,'Matrix BZ'!$A$2:$C$16,2,1)</f>
        <v>0</v>
      </c>
      <c r="J79" s="104">
        <f t="shared" si="10"/>
        <v>0</v>
      </c>
      <c r="K79" s="66">
        <f>'StdVS Unterhaltsreinigung (UHR)'!$C$57</f>
        <v>0</v>
      </c>
      <c r="L79" s="105">
        <f t="shared" si="11"/>
        <v>0</v>
      </c>
      <c r="M79" s="105">
        <f t="shared" si="12"/>
        <v>0</v>
      </c>
      <c r="N79" s="110">
        <f t="shared" si="13"/>
        <v>0</v>
      </c>
      <c r="P79" s="10"/>
      <c r="Q79" s="10"/>
      <c r="R79" s="10"/>
      <c r="S79" s="10"/>
      <c r="T79" s="10"/>
    </row>
    <row r="80" spans="1:20" ht="12.75">
      <c r="A80" s="377" t="s">
        <v>35</v>
      </c>
      <c r="B80" s="65" t="s">
        <v>188</v>
      </c>
      <c r="C80" s="354" t="s">
        <v>206</v>
      </c>
      <c r="D80" s="548" t="s">
        <v>54</v>
      </c>
      <c r="E80" s="126">
        <v>228</v>
      </c>
      <c r="F80" s="348">
        <v>3.19</v>
      </c>
      <c r="G80" s="65">
        <f>VLOOKUP(A80,'Matrix BZ'!$A$2:$C$16,3,1)</f>
        <v>2.5</v>
      </c>
      <c r="H80" s="359">
        <f t="shared" si="9"/>
        <v>30.305</v>
      </c>
      <c r="I80" s="352">
        <f>VLOOKUP(A80,'Matrix BZ'!$A$2:$C$16,2,1)</f>
        <v>0</v>
      </c>
      <c r="J80" s="104">
        <f t="shared" si="10"/>
        <v>0</v>
      </c>
      <c r="K80" s="66">
        <f>'StdVS Unterhaltsreinigung (UHR)'!$C$57</f>
        <v>0</v>
      </c>
      <c r="L80" s="105">
        <f t="shared" si="11"/>
        <v>0</v>
      </c>
      <c r="M80" s="105">
        <f t="shared" si="12"/>
        <v>0</v>
      </c>
      <c r="N80" s="110">
        <f t="shared" si="13"/>
        <v>0</v>
      </c>
      <c r="P80" s="10"/>
      <c r="Q80" s="10"/>
      <c r="R80" s="10"/>
      <c r="S80" s="10"/>
      <c r="T80" s="10"/>
    </row>
    <row r="81" spans="1:20" ht="15" customHeight="1">
      <c r="A81" s="377" t="s">
        <v>314</v>
      </c>
      <c r="B81" s="65" t="s">
        <v>188</v>
      </c>
      <c r="C81" s="354" t="s">
        <v>207</v>
      </c>
      <c r="D81" s="548" t="s">
        <v>54</v>
      </c>
      <c r="E81" s="126">
        <v>228</v>
      </c>
      <c r="F81" s="348">
        <v>36.31</v>
      </c>
      <c r="G81" s="65">
        <f>VLOOKUP(A81,'Matrix BZ'!$A$2:$C$16,3,1)</f>
        <v>2.5</v>
      </c>
      <c r="H81" s="359">
        <f t="shared" si="9"/>
        <v>344.94500000000005</v>
      </c>
      <c r="I81" s="352">
        <f>VLOOKUP(A81,'Matrix BZ'!$A$2:$C$16,2,1)</f>
        <v>0</v>
      </c>
      <c r="J81" s="104">
        <f t="shared" si="10"/>
        <v>0</v>
      </c>
      <c r="K81" s="66">
        <f>'StdVS Unterhaltsreinigung (UHR)'!$C$57</f>
        <v>0</v>
      </c>
      <c r="L81" s="105">
        <f t="shared" si="11"/>
        <v>0</v>
      </c>
      <c r="M81" s="105">
        <f t="shared" si="12"/>
        <v>0</v>
      </c>
      <c r="N81" s="110">
        <f t="shared" si="13"/>
        <v>0</v>
      </c>
      <c r="P81" s="10"/>
      <c r="Q81" s="10"/>
      <c r="R81" s="10"/>
      <c r="S81" s="10"/>
      <c r="T81" s="10"/>
    </row>
    <row r="82" spans="1:20" ht="13.5" thickBot="1">
      <c r="A82" s="378" t="s">
        <v>321</v>
      </c>
      <c r="B82" s="89" t="s">
        <v>188</v>
      </c>
      <c r="C82" s="552" t="s">
        <v>208</v>
      </c>
      <c r="D82" s="553" t="s">
        <v>264</v>
      </c>
      <c r="E82" s="554">
        <v>228</v>
      </c>
      <c r="F82" s="555">
        <v>34.39</v>
      </c>
      <c r="G82" s="89" t="str">
        <f>VLOOKUP(A82,'Matrix BZ'!$A$2:$C$16,3,1)</f>
        <v>1 x m</v>
      </c>
      <c r="H82" s="556">
        <f t="shared" si="9"/>
        <v>34.39</v>
      </c>
      <c r="I82" s="565">
        <f>VLOOKUP(A82,'Matrix BZ'!$A$2:$C$16,2,1)</f>
        <v>0</v>
      </c>
      <c r="J82" s="111">
        <f t="shared" si="10"/>
        <v>0</v>
      </c>
      <c r="K82" s="557">
        <f>'StdVS Unterhaltsreinigung (UHR)'!$C$57</f>
        <v>0</v>
      </c>
      <c r="L82" s="112">
        <f t="shared" si="11"/>
        <v>0</v>
      </c>
      <c r="M82" s="112">
        <f t="shared" si="12"/>
        <v>0</v>
      </c>
      <c r="N82" s="113">
        <f t="shared" si="13"/>
        <v>0</v>
      </c>
      <c r="P82" s="10"/>
      <c r="Q82" s="10"/>
      <c r="R82" s="10"/>
      <c r="S82" s="10"/>
      <c r="T82" s="10"/>
    </row>
    <row r="83" spans="1:20" ht="13.5" thickBot="1">
      <c r="A83" s="99" t="s">
        <v>48</v>
      </c>
      <c r="B83" s="37"/>
      <c r="C83" s="35"/>
      <c r="D83" s="79"/>
      <c r="E83" s="35"/>
      <c r="F83" s="36">
        <f>SUM(F8:F82)</f>
        <v>2509.7</v>
      </c>
      <c r="G83" s="119"/>
      <c r="H83" s="603">
        <f>SUM(H8:H82)</f>
        <v>24445.3771</v>
      </c>
      <c r="I83" s="604" t="e">
        <f>H83/J83</f>
        <v>#DIV/0!</v>
      </c>
      <c r="J83" s="605">
        <f>SUM(J8:J82)</f>
        <v>0</v>
      </c>
      <c r="K83" s="606" t="s">
        <v>8</v>
      </c>
      <c r="L83" s="607">
        <f>SUM(L8:L82)</f>
        <v>0</v>
      </c>
      <c r="M83" s="607">
        <f t="shared" si="12"/>
        <v>0</v>
      </c>
      <c r="N83" s="608">
        <f>L83/H83</f>
        <v>0</v>
      </c>
      <c r="P83" s="10"/>
      <c r="Q83" s="10"/>
      <c r="R83" s="10"/>
      <c r="S83" s="10"/>
      <c r="T83" s="10"/>
    </row>
    <row r="84" spans="2:20" ht="27" customHeight="1" thickBot="1">
      <c r="B84" s="8"/>
      <c r="D84" s="4"/>
      <c r="F84" s="80"/>
      <c r="G84" s="120"/>
      <c r="H84" s="4"/>
      <c r="I84" s="116" t="s">
        <v>58</v>
      </c>
      <c r="K84" s="67" t="s">
        <v>7</v>
      </c>
      <c r="L84" s="68">
        <f>SUM(L83*0.19)</f>
        <v>0</v>
      </c>
      <c r="M84" s="68">
        <f>SUM(M83*0.19)</f>
        <v>0</v>
      </c>
      <c r="P84" s="10"/>
      <c r="Q84" s="10"/>
      <c r="R84" s="10"/>
      <c r="S84" s="10"/>
      <c r="T84" s="10"/>
    </row>
    <row r="85" spans="1:16" ht="15.75" customHeight="1" thickBot="1">
      <c r="A85" s="380" t="s">
        <v>542</v>
      </c>
      <c r="B85" s="545"/>
      <c r="C85" s="540"/>
      <c r="D85" s="4"/>
      <c r="F85" s="80"/>
      <c r="G85" s="41"/>
      <c r="H85" s="59"/>
      <c r="I85" s="41"/>
      <c r="J85" s="41"/>
      <c r="K85" s="62" t="s">
        <v>9</v>
      </c>
      <c r="L85" s="61">
        <f>SUM(L84+L83)</f>
        <v>0</v>
      </c>
      <c r="M85" s="61">
        <f>SUM(M84+M83)</f>
        <v>0</v>
      </c>
      <c r="N85" s="60"/>
      <c r="O85" s="34"/>
      <c r="P85" s="10"/>
    </row>
    <row r="86" spans="1:20" ht="12.75">
      <c r="A86" s="632" t="s">
        <v>544</v>
      </c>
      <c r="B86" s="97"/>
      <c r="C86" s="9"/>
      <c r="D86" s="4"/>
      <c r="F86" s="80"/>
      <c r="G86" s="120"/>
      <c r="H86" s="4"/>
      <c r="I86"/>
      <c r="K86" s="14"/>
      <c r="L86" s="23"/>
      <c r="M86" s="23"/>
      <c r="N86" s="24"/>
      <c r="P86" s="10"/>
      <c r="Q86" s="10"/>
      <c r="R86" s="10"/>
      <c r="S86" s="10"/>
      <c r="T86" s="10"/>
    </row>
    <row r="87" spans="1:20" ht="15">
      <c r="A87" s="69"/>
      <c r="B87" s="27"/>
      <c r="D87" s="4"/>
      <c r="F87" s="80"/>
      <c r="G87" s="120"/>
      <c r="H87" s="4"/>
      <c r="I87"/>
      <c r="K87" s="14"/>
      <c r="P87" s="10"/>
      <c r="Q87" s="10"/>
      <c r="R87" s="10"/>
      <c r="S87" s="10"/>
      <c r="T87" s="10"/>
    </row>
    <row r="88" spans="1:20" ht="12.75">
      <c r="A88" s="1"/>
      <c r="B88" s="27"/>
      <c r="D88" s="4"/>
      <c r="F88" s="80"/>
      <c r="G88" s="120"/>
      <c r="H88" s="18"/>
      <c r="I88" s="10"/>
      <c r="J88" s="10"/>
      <c r="K88" s="10"/>
      <c r="L88" s="17"/>
      <c r="M88" s="10"/>
      <c r="P88" s="10"/>
      <c r="Q88" s="10"/>
      <c r="R88" s="10"/>
      <c r="S88" s="10"/>
      <c r="T88" s="10"/>
    </row>
    <row r="89" spans="6:20" ht="12.75">
      <c r="F89" s="80"/>
      <c r="I89"/>
      <c r="P89" s="10"/>
      <c r="Q89" s="10"/>
      <c r="R89" s="10"/>
      <c r="S89" s="10"/>
      <c r="T89" s="10"/>
    </row>
    <row r="90" spans="6:20" ht="12.75">
      <c r="F90" s="80"/>
      <c r="I90"/>
      <c r="P90" s="10"/>
      <c r="Q90" s="10"/>
      <c r="R90" s="10"/>
      <c r="S90" s="10"/>
      <c r="T90" s="10"/>
    </row>
    <row r="91" spans="1:20" ht="12.75">
      <c r="A91" s="10"/>
      <c r="B91" s="10"/>
      <c r="C91" s="10"/>
      <c r="D91" s="10"/>
      <c r="E91" s="10"/>
      <c r="F91" s="10"/>
      <c r="G91" s="122"/>
      <c r="H91" s="10"/>
      <c r="I91" s="17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</sheetData>
  <sheetProtection password="CC4A" sheet="1" selectLockedCells="1" sort="0" selectUnlockedCells="1"/>
  <protectedRanges>
    <protectedRange sqref="A7" name="Bereich1_1_1_1"/>
  </protectedRanges>
  <mergeCells count="7">
    <mergeCell ref="N6:N7"/>
    <mergeCell ref="A6:A7"/>
    <mergeCell ref="H6:H7"/>
    <mergeCell ref="J6:J7"/>
    <mergeCell ref="K6:K7"/>
    <mergeCell ref="L6:L7"/>
    <mergeCell ref="M6:M7"/>
  </mergeCells>
  <dataValidations count="2">
    <dataValidation type="list" allowBlank="1" sqref="B8:B82">
      <formula1>" 1.UG, 2.UG,0.EG,1.OG,2.OG,3.OG,4.OG,5.OG"</formula1>
    </dataValidation>
    <dataValidation type="list" allowBlank="1" sqref="C8:C82">
      <formula1>"Büro,Foyer,Besprechung,Kasse,Beh.WC,WC-D,WC-H,Abstellr.,Kassenhalle,Treppenhaus,Empfang"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3" r:id="rId1"/>
  <headerFooter alignWithMargins="0">
    <oddHeader>&amp;LGemeinde Gingen a.d.F.&amp;C&amp;A&amp;REU-Ausschreibung Gebäudereinigung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5F922"/>
  </sheetPr>
  <dimension ref="A1:G32"/>
  <sheetViews>
    <sheetView zoomScale="90" zoomScaleNormal="90" workbookViewId="0" topLeftCell="A1">
      <selection activeCell="E39" sqref="E39"/>
    </sheetView>
  </sheetViews>
  <sheetFormatPr defaultColWidth="11.421875" defaultRowHeight="12.75"/>
  <cols>
    <col min="1" max="1" width="75.140625" style="0" customWidth="1"/>
    <col min="2" max="3" width="11.28125" style="0" customWidth="1"/>
    <col min="4" max="4" width="12.140625" style="0" customWidth="1"/>
    <col min="5" max="5" width="12.00390625" style="0" customWidth="1"/>
    <col min="6" max="6" width="13.57421875" style="0" customWidth="1"/>
    <col min="7" max="7" width="15.421875" style="0" customWidth="1"/>
  </cols>
  <sheetData>
    <row r="1" spans="1:3" ht="30.75" customHeight="1" thickBot="1">
      <c r="A1" s="83" t="s">
        <v>210</v>
      </c>
      <c r="B1" s="51" t="s">
        <v>12</v>
      </c>
      <c r="C1" s="403" t="s">
        <v>433</v>
      </c>
    </row>
    <row r="2" spans="1:4" s="9" customFormat="1" ht="12.75">
      <c r="A2" s="376" t="s">
        <v>310</v>
      </c>
      <c r="B2" s="263"/>
      <c r="C2" s="118">
        <v>2.5</v>
      </c>
      <c r="D2" s="46"/>
    </row>
    <row r="3" spans="1:4" s="9" customFormat="1" ht="12.75">
      <c r="A3" s="377" t="s">
        <v>311</v>
      </c>
      <c r="B3" s="181"/>
      <c r="C3" s="54">
        <v>2.5</v>
      </c>
      <c r="D3" s="46"/>
    </row>
    <row r="4" spans="1:7" s="9" customFormat="1" ht="15" customHeight="1">
      <c r="A4" s="377" t="s">
        <v>59</v>
      </c>
      <c r="B4" s="181"/>
      <c r="C4" s="54">
        <v>5</v>
      </c>
      <c r="D4" s="71"/>
      <c r="F4" s="521"/>
      <c r="G4" s="519"/>
    </row>
    <row r="5" spans="1:4" s="9" customFormat="1" ht="12.75">
      <c r="A5" s="377" t="s">
        <v>312</v>
      </c>
      <c r="B5" s="181"/>
      <c r="C5" s="54">
        <v>2</v>
      </c>
      <c r="D5" s="46"/>
    </row>
    <row r="6" spans="1:4" s="9" customFormat="1" ht="12.75">
      <c r="A6" s="377" t="s">
        <v>313</v>
      </c>
      <c r="B6" s="181"/>
      <c r="C6" s="54">
        <v>1</v>
      </c>
      <c r="D6" s="71"/>
    </row>
    <row r="7" spans="1:4" s="9" customFormat="1" ht="12.75">
      <c r="A7" s="377" t="s">
        <v>314</v>
      </c>
      <c r="B7" s="181"/>
      <c r="C7" s="54">
        <v>2.5</v>
      </c>
      <c r="D7" s="71"/>
    </row>
    <row r="8" spans="1:4" s="9" customFormat="1" ht="12.75">
      <c r="A8" s="377" t="s">
        <v>35</v>
      </c>
      <c r="B8" s="181"/>
      <c r="C8" s="54">
        <v>2.5</v>
      </c>
      <c r="D8" s="46"/>
    </row>
    <row r="9" spans="1:4" s="9" customFormat="1" ht="12.75">
      <c r="A9" s="377" t="s">
        <v>46</v>
      </c>
      <c r="B9" s="181"/>
      <c r="C9" s="54">
        <v>1</v>
      </c>
      <c r="D9" s="72"/>
    </row>
    <row r="10" spans="1:4" s="9" customFormat="1" ht="12.75">
      <c r="A10" s="377" t="s">
        <v>38</v>
      </c>
      <c r="B10" s="181"/>
      <c r="C10" s="54">
        <v>5</v>
      </c>
      <c r="D10" s="46"/>
    </row>
    <row r="11" spans="1:4" s="9" customFormat="1" ht="12.75">
      <c r="A11" s="377" t="s">
        <v>315</v>
      </c>
      <c r="B11" s="181"/>
      <c r="C11" s="350">
        <v>5</v>
      </c>
      <c r="D11" s="46"/>
    </row>
    <row r="12" spans="1:4" s="9" customFormat="1" ht="15.75" customHeight="1">
      <c r="A12" s="377" t="s">
        <v>316</v>
      </c>
      <c r="B12" s="181"/>
      <c r="C12" s="54">
        <v>5</v>
      </c>
      <c r="D12" s="72"/>
    </row>
    <row r="13" spans="1:4" s="9" customFormat="1" ht="15.75" customHeight="1">
      <c r="A13" s="377" t="s">
        <v>317</v>
      </c>
      <c r="B13" s="181"/>
      <c r="C13" s="54">
        <v>1</v>
      </c>
      <c r="D13" s="72"/>
    </row>
    <row r="14" spans="1:4" s="9" customFormat="1" ht="15.75" customHeight="1">
      <c r="A14" s="377" t="s">
        <v>318</v>
      </c>
      <c r="B14" s="181"/>
      <c r="C14" s="350" t="s">
        <v>424</v>
      </c>
      <c r="D14" s="72"/>
    </row>
    <row r="15" spans="1:4" s="9" customFormat="1" ht="15.75" customHeight="1">
      <c r="A15" s="377" t="s">
        <v>320</v>
      </c>
      <c r="B15" s="181"/>
      <c r="C15" s="54">
        <v>2.5</v>
      </c>
      <c r="D15" s="72"/>
    </row>
    <row r="16" spans="1:4" s="9" customFormat="1" ht="15.75" customHeight="1" thickBot="1">
      <c r="A16" s="378" t="s">
        <v>321</v>
      </c>
      <c r="B16" s="283"/>
      <c r="C16" s="387" t="s">
        <v>424</v>
      </c>
      <c r="D16" s="72"/>
    </row>
    <row r="17" spans="1:7" s="9" customFormat="1" ht="12" customHeight="1">
      <c r="A17" s="11"/>
      <c r="B17" s="20"/>
      <c r="C17" s="20"/>
      <c r="D17" s="25"/>
      <c r="F17" s="11"/>
      <c r="G17" s="11"/>
    </row>
    <row r="18" spans="1:7" s="9" customFormat="1" ht="20.25" customHeight="1" thickBot="1">
      <c r="A18" s="123" t="s">
        <v>27</v>
      </c>
      <c r="B18" s="11"/>
      <c r="C18" s="3"/>
      <c r="D18" s="3"/>
      <c r="E18" s="3"/>
      <c r="F18" s="3"/>
      <c r="G18" s="10"/>
    </row>
    <row r="19" spans="1:7" s="9" customFormat="1" ht="31.5" customHeight="1">
      <c r="A19" s="425" t="s">
        <v>428</v>
      </c>
      <c r="B19" s="619" t="s">
        <v>19</v>
      </c>
      <c r="C19" s="332" t="s">
        <v>76</v>
      </c>
      <c r="D19" s="150" t="s">
        <v>17</v>
      </c>
      <c r="E19" s="150" t="s">
        <v>55</v>
      </c>
      <c r="F19" s="151" t="s">
        <v>56</v>
      </c>
      <c r="G19" s="10"/>
    </row>
    <row r="20" spans="1:7" s="9" customFormat="1" ht="15.75" customHeight="1">
      <c r="A20" s="617" t="s">
        <v>439</v>
      </c>
      <c r="B20" s="135">
        <v>264.19</v>
      </c>
      <c r="C20" s="304"/>
      <c r="D20" s="303" t="e">
        <f>('StdVS Grundreinigung'!C58)/C20</f>
        <v>#DIV/0!</v>
      </c>
      <c r="E20" s="423" t="e">
        <f>B20*D20</f>
        <v>#DIV/0!</v>
      </c>
      <c r="F20" s="620" t="e">
        <f>E20*1.19</f>
        <v>#DIV/0!</v>
      </c>
      <c r="G20" s="10"/>
    </row>
    <row r="21" spans="1:7" s="9" customFormat="1" ht="15.75" customHeight="1">
      <c r="A21" s="617" t="s">
        <v>458</v>
      </c>
      <c r="B21" s="135">
        <v>1680.48</v>
      </c>
      <c r="C21" s="304"/>
      <c r="D21" s="303" t="e">
        <f>('StdVS Grundreinigung'!C58)/C21</f>
        <v>#DIV/0!</v>
      </c>
      <c r="E21" s="423" t="e">
        <f>B21*D21</f>
        <v>#DIV/0!</v>
      </c>
      <c r="F21" s="620" t="e">
        <f>E21*1.19</f>
        <v>#DIV/0!</v>
      </c>
      <c r="G21" s="10"/>
    </row>
    <row r="22" spans="1:7" s="9" customFormat="1" ht="15.75" customHeight="1" thickBot="1">
      <c r="A22" s="617" t="s">
        <v>448</v>
      </c>
      <c r="B22" s="621">
        <v>565.03</v>
      </c>
      <c r="C22" s="306"/>
      <c r="D22" s="305" t="e">
        <f>('StdVS Grundreinigung'!C58)/C22</f>
        <v>#DIV/0!</v>
      </c>
      <c r="E22" s="445" t="e">
        <f>B22*D22</f>
        <v>#DIV/0!</v>
      </c>
      <c r="F22" s="622" t="e">
        <f>E22*1.19</f>
        <v>#DIV/0!</v>
      </c>
      <c r="G22" s="10"/>
    </row>
    <row r="23" spans="1:7" s="9" customFormat="1" ht="15.75" customHeight="1" thickBot="1">
      <c r="A23" s="618" t="s">
        <v>438</v>
      </c>
      <c r="B23" s="169">
        <f>B20+B21+B22</f>
        <v>2509.7</v>
      </c>
      <c r="C23" s="625" t="s">
        <v>57</v>
      </c>
      <c r="D23" s="625" t="s">
        <v>39</v>
      </c>
      <c r="E23" s="47" t="e">
        <f>SUM(E20:E22)</f>
        <v>#DIV/0!</v>
      </c>
      <c r="F23" s="48" t="e">
        <f>SUM(F20:F22)</f>
        <v>#DIV/0!</v>
      </c>
      <c r="G23" s="10"/>
    </row>
    <row r="24" spans="1:7" s="9" customFormat="1" ht="15.75" customHeight="1">
      <c r="A24" s="1" t="s">
        <v>457</v>
      </c>
      <c r="B24" s="81"/>
      <c r="C24" s="82"/>
      <c r="D24" s="73"/>
      <c r="E24" s="74"/>
      <c r="F24" s="74"/>
      <c r="G24" s="10"/>
    </row>
    <row r="25" spans="1:7" s="9" customFormat="1" ht="15.75" customHeight="1">
      <c r="A25" s="1" t="s">
        <v>549</v>
      </c>
      <c r="B25" s="81"/>
      <c r="C25" s="82"/>
      <c r="D25" s="73"/>
      <c r="E25" s="74"/>
      <c r="F25" s="74"/>
      <c r="G25" s="10"/>
    </row>
    <row r="26" spans="1:7" s="9" customFormat="1" ht="15.75" customHeight="1">
      <c r="A26" s="1" t="s">
        <v>550</v>
      </c>
      <c r="B26" s="81"/>
      <c r="C26" s="82"/>
      <c r="D26" s="73"/>
      <c r="E26" s="74"/>
      <c r="F26" s="74"/>
      <c r="G26" s="10"/>
    </row>
    <row r="27" spans="1:7" ht="12.75">
      <c r="A27" s="1"/>
      <c r="G27" s="10"/>
    </row>
    <row r="28" spans="1:7" ht="18.75" thickBot="1">
      <c r="A28" s="297" t="s">
        <v>138</v>
      </c>
      <c r="B28" s="11"/>
      <c r="F28" s="45"/>
      <c r="G28" s="3"/>
    </row>
    <row r="29" spans="1:7" ht="25.5">
      <c r="A29" s="434" t="s">
        <v>428</v>
      </c>
      <c r="B29" s="417" t="s">
        <v>19</v>
      </c>
      <c r="C29" s="153" t="s">
        <v>76</v>
      </c>
      <c r="D29" s="152" t="s">
        <v>73</v>
      </c>
      <c r="E29" s="152" t="s">
        <v>55</v>
      </c>
      <c r="F29" s="155" t="s">
        <v>56</v>
      </c>
      <c r="G29" s="10"/>
    </row>
    <row r="30" spans="1:7" ht="12.75">
      <c r="A30" s="409" t="s">
        <v>455</v>
      </c>
      <c r="B30" s="432">
        <v>530.28</v>
      </c>
      <c r="C30" s="301"/>
      <c r="D30" s="303" t="e">
        <f>('StdVS Glas-und Fensterreinigung'!C57)/C30</f>
        <v>#DIV/0!</v>
      </c>
      <c r="E30" s="125" t="e">
        <f>B30*D30</f>
        <v>#DIV/0!</v>
      </c>
      <c r="F30" s="136" t="e">
        <f>E30*1.19</f>
        <v>#DIV/0!</v>
      </c>
      <c r="G30" s="10"/>
    </row>
    <row r="31" spans="1:7" ht="13.5" thickBot="1">
      <c r="A31" s="410" t="s">
        <v>62</v>
      </c>
      <c r="B31" s="407" t="s">
        <v>57</v>
      </c>
      <c r="C31" s="156" t="s">
        <v>57</v>
      </c>
      <c r="D31" s="156" t="s">
        <v>39</v>
      </c>
      <c r="E31" s="157"/>
      <c r="F31" s="158">
        <f>E31*1.19</f>
        <v>0</v>
      </c>
      <c r="G31" s="10"/>
    </row>
    <row r="32" spans="1:6" ht="15.75" customHeight="1" thickBot="1">
      <c r="A32" s="411" t="s">
        <v>437</v>
      </c>
      <c r="B32" s="433">
        <f>SUM(B30:B31)</f>
        <v>530.28</v>
      </c>
      <c r="C32" s="165"/>
      <c r="D32" s="160" t="s">
        <v>39</v>
      </c>
      <c r="E32" s="47" t="e">
        <f>SUM(E30:E31)</f>
        <v>#DIV/0!</v>
      </c>
      <c r="F32" s="48" t="e">
        <f>SUM(F30:F31)</f>
        <v>#DIV/0!</v>
      </c>
    </row>
  </sheetData>
  <sheetProtection selectLockedCells="1"/>
  <protectedRanges>
    <protectedRange sqref="D32" name="Bereich1_1_1_1"/>
    <protectedRange sqref="A32" name="Bereich1_1_2_1_1_1"/>
    <protectedRange sqref="D31" name="Bereich1_1_2_3_1"/>
    <protectedRange sqref="E31" name="Bereich1_1_1_1_1_1_1_1"/>
    <protectedRange sqref="A31:C31" name="Bereich1_1_2_2_1_1"/>
    <protectedRange sqref="D30" name="Bereich1_2_1_1"/>
    <protectedRange sqref="D24:F26 D18:F22" name="Bereich1_2_2"/>
    <protectedRange sqref="D23" name="Bereich1_1_2"/>
    <protectedRange sqref="A23:C23" name="Bereich1_1_2_1"/>
    <protectedRange sqref="A20:A22" name="Bereich1_1_1_2"/>
  </protectedRange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3"/>
  <headerFooter alignWithMargins="0">
    <oddHeader>&amp;LGemeinde Gingen a.d.F.&amp;C&amp;A&amp;REU-Ausschreibung Gebäudereinigung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Ausschreibung </dc:title>
  <dc:subject/>
  <dc:creator>Bö</dc:creator>
  <cp:keywords/>
  <dc:description/>
  <cp:lastModifiedBy>fujitsu</cp:lastModifiedBy>
  <cp:lastPrinted>2018-04-24T07:42:24Z</cp:lastPrinted>
  <dcterms:created xsi:type="dcterms:W3CDTF">2003-12-02T13:33:37Z</dcterms:created>
  <dcterms:modified xsi:type="dcterms:W3CDTF">2018-05-14T13:25:43Z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